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30720" windowHeight="13695"/>
  </bookViews>
  <sheets>
    <sheet name="Proposta Dimensionamento" sheetId="11" r:id="rId1"/>
    <sheet name="stato vigente e di progetto" sheetId="1" r:id="rId2"/>
    <sheet name="Standard" sheetId="6" r:id="rId3"/>
    <sheet name="Standard Centri Minori" sheetId="8" r:id="rId4"/>
  </sheets>
  <definedNames>
    <definedName name="_xlnm.Print_Area" localSheetId="0">'Proposta Dimensionamento'!$A$1:$S$14</definedName>
    <definedName name="_xlnm.Print_Area" localSheetId="2">Standard!$B$1:$F$145</definedName>
    <definedName name="_xlnm.Print_Area" localSheetId="3">'Standard Centri Minori'!$A$1:$G$87</definedName>
    <definedName name="_xlnm.Print_Area" localSheetId="1">'stato vigente e di progetto'!$A$1:$W$937</definedName>
    <definedName name="Print_Area" localSheetId="2">Standard!$B$1:$G$145</definedName>
    <definedName name="Print_Area" localSheetId="3">'Standard Centri Minori'!$B$1:$G$87</definedName>
    <definedName name="Print_Area" localSheetId="1">'stato vigente e di progetto'!$A$1:$W$938</definedName>
    <definedName name="Print_Titles" localSheetId="1">'stato vigente e di progetto'!$3:$4</definedName>
    <definedName name="_xlnm.Print_Titles" localSheetId="1">'stato vigente e di progetto'!$3:$4</definedName>
  </definedNames>
  <calcPr calcId="145621"/>
</workbook>
</file>

<file path=xl/calcChain.xml><?xml version="1.0" encoding="utf-8"?>
<calcChain xmlns="http://schemas.openxmlformats.org/spreadsheetml/2006/main">
  <c r="K909" i="1" l="1"/>
  <c r="H761" i="1" l="1"/>
  <c r="K761" i="1"/>
  <c r="J761" i="1" s="1"/>
  <c r="K891" i="1" l="1"/>
  <c r="J891" i="1" s="1"/>
  <c r="K837" i="1" l="1"/>
  <c r="K884" i="1"/>
  <c r="E929" i="1"/>
  <c r="E925" i="1"/>
  <c r="E843" i="1"/>
  <c r="F843" i="1"/>
  <c r="H465" i="1" l="1"/>
  <c r="J463" i="1"/>
  <c r="H463" i="1"/>
  <c r="H185" i="1"/>
  <c r="H427" i="1" l="1"/>
  <c r="H429" i="1"/>
  <c r="H189" i="1"/>
  <c r="H188" i="1"/>
  <c r="H190" i="1"/>
  <c r="H191" i="1"/>
  <c r="H183" i="1"/>
  <c r="K185" i="1" l="1"/>
  <c r="K184" i="1"/>
  <c r="H692" i="1" l="1"/>
  <c r="K12" i="11"/>
  <c r="K11" i="11"/>
  <c r="H11" i="11" l="1"/>
  <c r="I11" i="11" s="1"/>
  <c r="E10" i="11" l="1"/>
  <c r="E849" i="1"/>
  <c r="E874" i="1" s="1"/>
  <c r="G147" i="1" l="1"/>
  <c r="L11" i="11"/>
  <c r="E799" i="1" l="1"/>
  <c r="E769" i="1"/>
  <c r="E615" i="1"/>
  <c r="E607" i="1"/>
  <c r="E590" i="1"/>
  <c r="E567" i="1"/>
  <c r="E441" i="1"/>
  <c r="E431" i="1"/>
  <c r="E407" i="1"/>
  <c r="E319" i="1"/>
  <c r="E267" i="1"/>
  <c r="E198" i="1"/>
  <c r="E360" i="1"/>
  <c r="G171" i="1"/>
  <c r="G148" i="1"/>
  <c r="P11" i="11"/>
  <c r="Q11" i="11" s="1"/>
  <c r="M11" i="11"/>
  <c r="N11" i="11" s="1"/>
  <c r="C9" i="11"/>
  <c r="C6" i="11"/>
  <c r="C5" i="11"/>
  <c r="C4" i="11"/>
  <c r="C3" i="11"/>
  <c r="C2" i="11"/>
  <c r="R11" i="11" l="1"/>
  <c r="S11" i="11" s="1"/>
  <c r="P2" i="11"/>
  <c r="R2" i="11" s="1"/>
  <c r="F13" i="11"/>
  <c r="H9" i="11"/>
  <c r="E9" i="11"/>
  <c r="G9" i="11" s="1"/>
  <c r="H6" i="11"/>
  <c r="E6" i="11"/>
  <c r="G6" i="11" s="1"/>
  <c r="H5" i="11"/>
  <c r="E5" i="11"/>
  <c r="G5" i="11" s="1"/>
  <c r="H4" i="11"/>
  <c r="E4" i="11"/>
  <c r="H3" i="11"/>
  <c r="E3" i="11"/>
  <c r="G3" i="11" s="1"/>
  <c r="M2" i="11"/>
  <c r="L2" i="11"/>
  <c r="H2" i="11"/>
  <c r="E2" i="11"/>
  <c r="Q2" i="11" l="1"/>
  <c r="I6" i="11"/>
  <c r="I3" i="11"/>
  <c r="I5" i="11"/>
  <c r="G2" i="11"/>
  <c r="I2" i="11" s="1"/>
  <c r="S2" i="11" s="1"/>
  <c r="G4" i="11"/>
  <c r="I4" i="11" s="1"/>
  <c r="I9" i="11"/>
  <c r="N2" i="11" l="1"/>
  <c r="D6" i="6" l="1"/>
  <c r="D6" i="8"/>
  <c r="N34" i="1"/>
  <c r="N37" i="1"/>
  <c r="N41" i="1"/>
  <c r="N42" i="1"/>
  <c r="N74" i="1"/>
  <c r="N75" i="1"/>
  <c r="N78" i="1"/>
  <c r="N84" i="1"/>
  <c r="N88" i="1"/>
  <c r="N89" i="1"/>
  <c r="N90" i="1"/>
  <c r="N92" i="1"/>
  <c r="N102" i="1"/>
  <c r="N103" i="1"/>
  <c r="N104" i="1"/>
  <c r="N107" i="1"/>
  <c r="N108" i="1"/>
  <c r="N109" i="1"/>
  <c r="N110" i="1"/>
  <c r="N111" i="1"/>
  <c r="N113" i="1"/>
  <c r="N114" i="1"/>
  <c r="N115" i="1"/>
  <c r="N118" i="1"/>
  <c r="N119" i="1"/>
  <c r="N121" i="1"/>
  <c r="N122" i="1"/>
  <c r="N123" i="1"/>
  <c r="N124" i="1"/>
  <c r="I860" i="1" l="1"/>
  <c r="C12" i="11" s="1"/>
  <c r="H68" i="1"/>
  <c r="H12" i="11" l="1"/>
  <c r="C13" i="11"/>
  <c r="E12" i="11"/>
  <c r="G862" i="1"/>
  <c r="K862" i="1" s="1"/>
  <c r="J862" i="1" s="1"/>
  <c r="G857" i="1"/>
  <c r="K857" i="1" s="1"/>
  <c r="J857" i="1" s="1"/>
  <c r="G858" i="1"/>
  <c r="K858" i="1" s="1"/>
  <c r="J858" i="1" s="1"/>
  <c r="G859" i="1"/>
  <c r="K859" i="1" s="1"/>
  <c r="J859" i="1" s="1"/>
  <c r="G860" i="1"/>
  <c r="K860" i="1" s="1"/>
  <c r="J860" i="1" s="1"/>
  <c r="G861" i="1"/>
  <c r="K861" i="1" s="1"/>
  <c r="J861" i="1" s="1"/>
  <c r="G863" i="1"/>
  <c r="K863" i="1" s="1"/>
  <c r="J863" i="1" s="1"/>
  <c r="G12" i="11" l="1"/>
  <c r="I12" i="11" s="1"/>
  <c r="E13" i="11"/>
  <c r="H13" i="11"/>
  <c r="K28" i="1"/>
  <c r="J28" i="1" s="1"/>
  <c r="L29" i="1"/>
  <c r="I29" i="1"/>
  <c r="F29" i="1"/>
  <c r="I13" i="11" l="1"/>
  <c r="K72" i="1"/>
  <c r="J72" i="1" s="1"/>
  <c r="N72" i="1" l="1"/>
  <c r="H36" i="1"/>
  <c r="H99" i="1" l="1"/>
  <c r="H69" i="1"/>
  <c r="H57" i="1"/>
  <c r="E67" i="8" l="1"/>
  <c r="E49" i="8"/>
  <c r="E27" i="8"/>
  <c r="E16" i="8"/>
  <c r="F10" i="8"/>
  <c r="E124" i="6" l="1"/>
  <c r="E105" i="6"/>
  <c r="E90" i="6"/>
  <c r="E68" i="6"/>
  <c r="E125" i="6" l="1"/>
  <c r="E91" i="6"/>
  <c r="E29" i="6"/>
  <c r="E40" i="6"/>
  <c r="E41" i="6" l="1"/>
  <c r="G173" i="1"/>
  <c r="I847" i="1" l="1"/>
  <c r="L847" i="1" l="1"/>
  <c r="E847" i="1"/>
  <c r="F847" i="1" s="1"/>
  <c r="I929" i="1"/>
  <c r="G145" i="1" l="1"/>
  <c r="K145" i="1" s="1"/>
  <c r="J145" i="1" s="1"/>
  <c r="G144" i="1"/>
  <c r="K144" i="1" s="1"/>
  <c r="J144" i="1" s="1"/>
  <c r="G146" i="1"/>
  <c r="K146" i="1" s="1"/>
  <c r="L874" i="1"/>
  <c r="G855" i="1"/>
  <c r="G854" i="1"/>
  <c r="G853" i="1"/>
  <c r="G852" i="1"/>
  <c r="G851" i="1"/>
  <c r="G850" i="1"/>
  <c r="G873" i="1"/>
  <c r="G872" i="1"/>
  <c r="G871" i="1"/>
  <c r="G870" i="1"/>
  <c r="G869" i="1"/>
  <c r="G868" i="1"/>
  <c r="G867" i="1"/>
  <c r="G866" i="1"/>
  <c r="G865" i="1"/>
  <c r="G864" i="1"/>
  <c r="G856" i="1"/>
  <c r="G849" i="1"/>
  <c r="G848" i="1"/>
  <c r="H635" i="1" l="1"/>
  <c r="K635" i="1" s="1"/>
  <c r="J635" i="1" s="1"/>
  <c r="H634" i="1"/>
  <c r="K634" i="1" s="1"/>
  <c r="H633" i="1"/>
  <c r="K633" i="1" s="1"/>
  <c r="J633" i="1" s="1"/>
  <c r="H632" i="1"/>
  <c r="K632" i="1" s="1"/>
  <c r="J632" i="1" s="1"/>
  <c r="J634" i="1" l="1"/>
  <c r="G634" i="1"/>
  <c r="E132" i="1"/>
  <c r="F132" i="1"/>
  <c r="G132" i="1"/>
  <c r="G878" i="1"/>
  <c r="I843" i="1"/>
  <c r="I874" i="1"/>
  <c r="K924" i="1" l="1"/>
  <c r="K923" i="1"/>
  <c r="K922" i="1"/>
  <c r="K921" i="1"/>
  <c r="K920" i="1"/>
  <c r="K919" i="1"/>
  <c r="K918" i="1"/>
  <c r="K917" i="1"/>
  <c r="K916" i="1"/>
  <c r="K915" i="1"/>
  <c r="K914" i="1"/>
  <c r="K913" i="1"/>
  <c r="K912" i="1"/>
  <c r="K911" i="1"/>
  <c r="K910" i="1"/>
  <c r="K908" i="1"/>
  <c r="K907" i="1"/>
  <c r="K906" i="1"/>
  <c r="K905" i="1"/>
  <c r="K904" i="1"/>
  <c r="K903" i="1"/>
  <c r="K902" i="1"/>
  <c r="K901" i="1"/>
  <c r="K900" i="1"/>
  <c r="K899" i="1" l="1"/>
  <c r="K898" i="1"/>
  <c r="K897" i="1"/>
  <c r="K896" i="1"/>
  <c r="K895" i="1"/>
  <c r="K894" i="1"/>
  <c r="K893" i="1"/>
  <c r="K890" i="1"/>
  <c r="K892" i="1"/>
  <c r="K889" i="1"/>
  <c r="K888" i="1"/>
  <c r="K887" i="1"/>
  <c r="K886" i="1"/>
  <c r="K885" i="1"/>
  <c r="K883" i="1"/>
  <c r="K882" i="1"/>
  <c r="K881" i="1"/>
  <c r="K880" i="1"/>
  <c r="K879" i="1"/>
  <c r="K878" i="1"/>
  <c r="K877" i="1"/>
  <c r="K842" i="1"/>
  <c r="K841" i="1"/>
  <c r="K840" i="1"/>
  <c r="K839" i="1"/>
  <c r="K838" i="1"/>
  <c r="K835" i="1"/>
  <c r="K836" i="1"/>
  <c r="K834" i="1"/>
  <c r="K833" i="1"/>
  <c r="H312" i="1" l="1"/>
  <c r="H311" i="1"/>
  <c r="H192" i="1"/>
  <c r="H193" i="1"/>
  <c r="K190" i="1"/>
  <c r="H197" i="1"/>
  <c r="H196" i="1"/>
  <c r="H211" i="1"/>
  <c r="H212" i="1"/>
  <c r="H213" i="1"/>
  <c r="H214" i="1"/>
  <c r="H210" i="1"/>
  <c r="H222" i="1"/>
  <c r="H223" i="1"/>
  <c r="H221" i="1"/>
  <c r="H230" i="1"/>
  <c r="H231" i="1"/>
  <c r="H229" i="1"/>
  <c r="H242" i="1"/>
  <c r="H241" i="1"/>
  <c r="H248" i="1"/>
  <c r="H249" i="1"/>
  <c r="H247" i="1"/>
  <c r="H260" i="1"/>
  <c r="H261" i="1"/>
  <c r="H259" i="1"/>
  <c r="H266" i="1"/>
  <c r="H274" i="1"/>
  <c r="H275" i="1"/>
  <c r="H276" i="1"/>
  <c r="H273" i="1"/>
  <c r="H281" i="1"/>
  <c r="H282" i="1"/>
  <c r="H280" i="1"/>
  <c r="H295" i="1"/>
  <c r="H294" i="1"/>
  <c r="H300" i="1"/>
  <c r="H301" i="1"/>
  <c r="H302" i="1"/>
  <c r="H299" i="1"/>
  <c r="H306" i="1"/>
  <c r="H318" i="1"/>
  <c r="H317" i="1"/>
  <c r="H331" i="1"/>
  <c r="H332" i="1"/>
  <c r="H330" i="1"/>
  <c r="H347" i="1"/>
  <c r="H348" i="1"/>
  <c r="H349" i="1"/>
  <c r="H350" i="1"/>
  <c r="H346" i="1"/>
  <c r="H358" i="1"/>
  <c r="H359" i="1"/>
  <c r="H357" i="1"/>
  <c r="H368" i="1"/>
  <c r="H369" i="1"/>
  <c r="H370" i="1"/>
  <c r="H367" i="1"/>
  <c r="H386" i="1"/>
  <c r="H387" i="1"/>
  <c r="H388" i="1"/>
  <c r="H385" i="1"/>
  <c r="H397" i="1"/>
  <c r="H398" i="1"/>
  <c r="H399" i="1"/>
  <c r="H396" i="1"/>
  <c r="H405" i="1"/>
  <c r="H406" i="1"/>
  <c r="H404" i="1"/>
  <c r="H414" i="1"/>
  <c r="H415" i="1"/>
  <c r="H416" i="1"/>
  <c r="H413" i="1"/>
  <c r="H430" i="1"/>
  <c r="H428" i="1"/>
  <c r="H438" i="1"/>
  <c r="H439" i="1"/>
  <c r="H440" i="1"/>
  <c r="H437" i="1"/>
  <c r="H445" i="1"/>
  <c r="H446" i="1"/>
  <c r="H444" i="1"/>
  <c r="H452" i="1"/>
  <c r="H453" i="1"/>
  <c r="H451" i="1"/>
  <c r="H458" i="1"/>
  <c r="H459" i="1"/>
  <c r="H457" i="1"/>
  <c r="H475" i="1"/>
  <c r="H476" i="1"/>
  <c r="H477" i="1"/>
  <c r="H478" i="1"/>
  <c r="H474" i="1"/>
  <c r="H484" i="1"/>
  <c r="H485" i="1"/>
  <c r="H483" i="1"/>
  <c r="H490" i="1"/>
  <c r="H489" i="1"/>
  <c r="H494" i="1"/>
  <c r="H495" i="1"/>
  <c r="H493" i="1"/>
  <c r="H505" i="1"/>
  <c r="H506" i="1"/>
  <c r="H507" i="1"/>
  <c r="H504" i="1"/>
  <c r="H513" i="1"/>
  <c r="H520" i="1"/>
  <c r="H530" i="1"/>
  <c r="H531" i="1"/>
  <c r="H529" i="1"/>
  <c r="H534" i="1"/>
  <c r="H533" i="1"/>
  <c r="H545" i="1"/>
  <c r="H544" i="1"/>
  <c r="H551" i="1"/>
  <c r="H550" i="1"/>
  <c r="H566" i="1"/>
  <c r="H565" i="1"/>
  <c r="H578" i="1"/>
  <c r="H579" i="1"/>
  <c r="H580" i="1"/>
  <c r="H577" i="1"/>
  <c r="H588" i="1"/>
  <c r="H589" i="1"/>
  <c r="H587" i="1"/>
  <c r="H604" i="1"/>
  <c r="H605" i="1"/>
  <c r="H606" i="1"/>
  <c r="H603" i="1"/>
  <c r="H613" i="1"/>
  <c r="H614" i="1"/>
  <c r="H612" i="1"/>
  <c r="H623" i="1"/>
  <c r="H624" i="1"/>
  <c r="H625" i="1"/>
  <c r="H626" i="1"/>
  <c r="H622" i="1"/>
  <c r="H641" i="1"/>
  <c r="H642" i="1"/>
  <c r="H640" i="1"/>
  <c r="H652" i="1"/>
  <c r="H653" i="1"/>
  <c r="H654" i="1"/>
  <c r="H651" i="1"/>
  <c r="H657" i="1"/>
  <c r="H658" i="1"/>
  <c r="H656" i="1"/>
  <c r="H662" i="1"/>
  <c r="H661" i="1"/>
  <c r="H667" i="1"/>
  <c r="H666" i="1"/>
  <c r="H677" i="1"/>
  <c r="H678" i="1"/>
  <c r="H676" i="1"/>
  <c r="H694" i="1"/>
  <c r="H695" i="1"/>
  <c r="H693" i="1"/>
  <c r="H707" i="1"/>
  <c r="H708" i="1"/>
  <c r="H709" i="1"/>
  <c r="H706" i="1"/>
  <c r="H712" i="1"/>
  <c r="H713" i="1"/>
  <c r="H711" i="1"/>
  <c r="H723" i="1"/>
  <c r="H724" i="1"/>
  <c r="H725" i="1"/>
  <c r="H722" i="1"/>
  <c r="H739" i="1"/>
  <c r="H740" i="1"/>
  <c r="H741" i="1"/>
  <c r="H742" i="1"/>
  <c r="H738" i="1"/>
  <c r="H750" i="1"/>
  <c r="H751" i="1"/>
  <c r="H749" i="1"/>
  <c r="H765" i="1"/>
  <c r="H766" i="1"/>
  <c r="H767" i="1"/>
  <c r="H768" i="1"/>
  <c r="H769" i="1"/>
  <c r="H770" i="1"/>
  <c r="H771" i="1"/>
  <c r="H764" i="1"/>
  <c r="H776" i="1"/>
  <c r="H775" i="1"/>
  <c r="H828" i="1"/>
  <c r="H827" i="1"/>
  <c r="H816" i="1"/>
  <c r="H817" i="1"/>
  <c r="H818" i="1"/>
  <c r="H815" i="1"/>
  <c r="H805" i="1"/>
  <c r="H806" i="1"/>
  <c r="H807" i="1"/>
  <c r="H808" i="1"/>
  <c r="H804" i="1"/>
  <c r="H796" i="1"/>
  <c r="H797" i="1"/>
  <c r="H798" i="1"/>
  <c r="H795" i="1"/>
  <c r="G177" i="1"/>
  <c r="G163" i="1"/>
  <c r="G179" i="1"/>
  <c r="G176" i="1"/>
  <c r="G175" i="1"/>
  <c r="G174" i="1"/>
  <c r="G172" i="1"/>
  <c r="G170" i="1"/>
  <c r="G169" i="1"/>
  <c r="G168" i="1"/>
  <c r="G167" i="1"/>
  <c r="G166" i="1"/>
  <c r="G165" i="1"/>
  <c r="G164" i="1"/>
  <c r="G162" i="1"/>
  <c r="G161" i="1"/>
  <c r="G160" i="1"/>
  <c r="G159" i="1"/>
  <c r="G157" i="1"/>
  <c r="G156" i="1"/>
  <c r="G155" i="1"/>
  <c r="G154" i="1"/>
  <c r="G153" i="1"/>
  <c r="G152" i="1"/>
  <c r="G151" i="1"/>
  <c r="G150" i="1"/>
  <c r="G149" i="1"/>
  <c r="H6" i="1" l="1"/>
  <c r="K6" i="1" s="1"/>
  <c r="J6" i="1" s="1"/>
  <c r="H7" i="1"/>
  <c r="K7" i="1" s="1"/>
  <c r="J7" i="1" s="1"/>
  <c r="H8" i="1"/>
  <c r="K8" i="1" s="1"/>
  <c r="J8" i="1" s="1"/>
  <c r="H9" i="1"/>
  <c r="K9" i="1" s="1"/>
  <c r="J9" i="1" s="1"/>
  <c r="H10" i="1"/>
  <c r="K10" i="1" s="1"/>
  <c r="J10" i="1" s="1"/>
  <c r="H11" i="1"/>
  <c r="K11" i="1" s="1"/>
  <c r="J11" i="1" s="1"/>
  <c r="K12" i="1"/>
  <c r="J12" i="1" s="1"/>
  <c r="H13" i="1"/>
  <c r="K13" i="1" s="1"/>
  <c r="J13" i="1" s="1"/>
  <c r="H14" i="1"/>
  <c r="K14" i="1" s="1"/>
  <c r="J14" i="1" s="1"/>
  <c r="H15" i="1"/>
  <c r="K15" i="1" s="1"/>
  <c r="J15" i="1" s="1"/>
  <c r="H16" i="1"/>
  <c r="K16" i="1" s="1"/>
  <c r="J16" i="1" s="1"/>
  <c r="H17" i="1"/>
  <c r="K17" i="1" s="1"/>
  <c r="J17" i="1" s="1"/>
  <c r="H18" i="1"/>
  <c r="K18" i="1" s="1"/>
  <c r="J18" i="1" s="1"/>
  <c r="H19" i="1"/>
  <c r="K19" i="1" s="1"/>
  <c r="J19" i="1" s="1"/>
  <c r="H20" i="1"/>
  <c r="K20" i="1" s="1"/>
  <c r="J20" i="1" s="1"/>
  <c r="H21" i="1"/>
  <c r="K21" i="1" s="1"/>
  <c r="J21" i="1" s="1"/>
  <c r="H22" i="1"/>
  <c r="K22" i="1" s="1"/>
  <c r="J22" i="1" s="1"/>
  <c r="H23" i="1"/>
  <c r="K23" i="1" s="1"/>
  <c r="J23" i="1" s="1"/>
  <c r="H24" i="1"/>
  <c r="K24" i="1" s="1"/>
  <c r="J24" i="1" s="1"/>
  <c r="H25" i="1"/>
  <c r="K25" i="1" s="1"/>
  <c r="J25" i="1" s="1"/>
  <c r="H26" i="1"/>
  <c r="K26" i="1" s="1"/>
  <c r="J26" i="1" s="1"/>
  <c r="H27" i="1"/>
  <c r="K27" i="1" s="1"/>
  <c r="J27" i="1" s="1"/>
  <c r="H5" i="1"/>
  <c r="K179" i="1" l="1"/>
  <c r="J179" i="1" s="1"/>
  <c r="K178" i="1"/>
  <c r="J178" i="1" s="1"/>
  <c r="K177" i="1"/>
  <c r="J177" i="1" s="1"/>
  <c r="K176" i="1"/>
  <c r="J176" i="1" s="1"/>
  <c r="K175" i="1"/>
  <c r="J175" i="1" s="1"/>
  <c r="K174" i="1"/>
  <c r="J174" i="1" s="1"/>
  <c r="K173" i="1"/>
  <c r="J173" i="1" s="1"/>
  <c r="K172" i="1"/>
  <c r="J172" i="1" s="1"/>
  <c r="K171" i="1"/>
  <c r="J171" i="1" s="1"/>
  <c r="K170" i="1"/>
  <c r="J170" i="1" s="1"/>
  <c r="K169" i="1"/>
  <c r="J169" i="1" s="1"/>
  <c r="K168" i="1"/>
  <c r="J168" i="1" s="1"/>
  <c r="K167" i="1"/>
  <c r="J167" i="1" s="1"/>
  <c r="K166" i="1"/>
  <c r="J166" i="1" s="1"/>
  <c r="K165" i="1"/>
  <c r="J165" i="1" s="1"/>
  <c r="K164" i="1"/>
  <c r="J164" i="1" s="1"/>
  <c r="K163" i="1"/>
  <c r="J163" i="1" s="1"/>
  <c r="K162" i="1"/>
  <c r="J162" i="1" s="1"/>
  <c r="K161" i="1"/>
  <c r="J161" i="1" s="1"/>
  <c r="K160" i="1"/>
  <c r="J160" i="1" s="1"/>
  <c r="K159" i="1"/>
  <c r="J159" i="1" s="1"/>
  <c r="J158" i="1"/>
  <c r="K157" i="1"/>
  <c r="J157" i="1" s="1"/>
  <c r="K156" i="1"/>
  <c r="J156" i="1" s="1"/>
  <c r="K155" i="1"/>
  <c r="K154" i="1"/>
  <c r="J154" i="1" s="1"/>
  <c r="K153" i="1"/>
  <c r="J153" i="1" s="1"/>
  <c r="K152" i="1"/>
  <c r="J152" i="1" s="1"/>
  <c r="K151" i="1"/>
  <c r="J151" i="1" s="1"/>
  <c r="K150" i="1"/>
  <c r="J150" i="1" s="1"/>
  <c r="K149" i="1"/>
  <c r="J149" i="1" s="1"/>
  <c r="K148" i="1"/>
  <c r="J148" i="1" s="1"/>
  <c r="K147" i="1"/>
  <c r="J147" i="1" l="1"/>
  <c r="K8" i="11" s="1"/>
  <c r="J155" i="1"/>
  <c r="K7" i="11" s="1"/>
  <c r="L132" i="1"/>
  <c r="I132" i="1"/>
  <c r="M8" i="11" l="1"/>
  <c r="N8" i="11" s="1"/>
  <c r="P8" i="11"/>
  <c r="L8" i="11"/>
  <c r="L7" i="11"/>
  <c r="M7" i="11"/>
  <c r="N7" i="11" s="1"/>
  <c r="P7" i="11"/>
  <c r="K873" i="1"/>
  <c r="J873" i="1" s="1"/>
  <c r="K872" i="1"/>
  <c r="J872" i="1" s="1"/>
  <c r="K871" i="1"/>
  <c r="J871" i="1" s="1"/>
  <c r="K870" i="1"/>
  <c r="J870" i="1" s="1"/>
  <c r="K869" i="1"/>
  <c r="J869" i="1" s="1"/>
  <c r="K868" i="1"/>
  <c r="J868" i="1" s="1"/>
  <c r="K867" i="1"/>
  <c r="J867" i="1" s="1"/>
  <c r="K866" i="1"/>
  <c r="J866" i="1" s="1"/>
  <c r="K865" i="1"/>
  <c r="J865" i="1" s="1"/>
  <c r="K864" i="1"/>
  <c r="R8" i="11" l="1"/>
  <c r="S8" i="11" s="1"/>
  <c r="Q8" i="11"/>
  <c r="J864" i="1"/>
  <c r="R7" i="11"/>
  <c r="S7" i="11" s="1"/>
  <c r="Q7" i="11"/>
  <c r="K828" i="1"/>
  <c r="J828" i="1" s="1"/>
  <c r="K827" i="1"/>
  <c r="J827" i="1" s="1"/>
  <c r="K818" i="1"/>
  <c r="J818" i="1" s="1"/>
  <c r="K817" i="1"/>
  <c r="J817" i="1" s="1"/>
  <c r="K816" i="1"/>
  <c r="J816" i="1" s="1"/>
  <c r="K815" i="1"/>
  <c r="J815" i="1" s="1"/>
  <c r="K808" i="1"/>
  <c r="J808" i="1" s="1"/>
  <c r="K807" i="1"/>
  <c r="J807" i="1" s="1"/>
  <c r="K806" i="1"/>
  <c r="J806" i="1" s="1"/>
  <c r="K805" i="1"/>
  <c r="J805" i="1" s="1"/>
  <c r="K804" i="1"/>
  <c r="J804" i="1" s="1"/>
  <c r="K798" i="1"/>
  <c r="J798" i="1" s="1"/>
  <c r="K797" i="1"/>
  <c r="J797" i="1" s="1"/>
  <c r="K796" i="1"/>
  <c r="J796" i="1" s="1"/>
  <c r="K795" i="1"/>
  <c r="J795" i="1" s="1"/>
  <c r="K776" i="1"/>
  <c r="J776" i="1" s="1"/>
  <c r="K775" i="1"/>
  <c r="J775" i="1" s="1"/>
  <c r="H772" i="1"/>
  <c r="K771" i="1"/>
  <c r="K770" i="1"/>
  <c r="K768" i="1"/>
  <c r="J768" i="1" s="1"/>
  <c r="K767" i="1"/>
  <c r="J767" i="1" s="1"/>
  <c r="K766" i="1"/>
  <c r="J766" i="1" s="1"/>
  <c r="K765" i="1"/>
  <c r="J765" i="1" s="1"/>
  <c r="K764" i="1"/>
  <c r="J764" i="1" s="1"/>
  <c r="K751" i="1"/>
  <c r="J751" i="1" s="1"/>
  <c r="K750" i="1"/>
  <c r="J750" i="1" s="1"/>
  <c r="K749" i="1"/>
  <c r="J749" i="1" s="1"/>
  <c r="K742" i="1"/>
  <c r="J742" i="1" s="1"/>
  <c r="K741" i="1"/>
  <c r="J741" i="1" s="1"/>
  <c r="K740" i="1"/>
  <c r="J740" i="1" s="1"/>
  <c r="K739" i="1"/>
  <c r="J739" i="1" s="1"/>
  <c r="K738" i="1"/>
  <c r="J738" i="1" s="1"/>
  <c r="K725" i="1"/>
  <c r="J725" i="1" s="1"/>
  <c r="K724" i="1"/>
  <c r="J724" i="1" s="1"/>
  <c r="K723" i="1"/>
  <c r="J723" i="1" s="1"/>
  <c r="K722" i="1"/>
  <c r="J722" i="1" s="1"/>
  <c r="K713" i="1"/>
  <c r="J713" i="1" s="1"/>
  <c r="K712" i="1"/>
  <c r="J712" i="1" s="1"/>
  <c r="K711" i="1"/>
  <c r="J711" i="1" s="1"/>
  <c r="H705" i="1"/>
  <c r="K707" i="1"/>
  <c r="J707" i="1" s="1"/>
  <c r="K709" i="1"/>
  <c r="J709" i="1" s="1"/>
  <c r="K708" i="1"/>
  <c r="J708" i="1" s="1"/>
  <c r="K706" i="1"/>
  <c r="J706" i="1" s="1"/>
  <c r="K695" i="1"/>
  <c r="J695" i="1" s="1"/>
  <c r="K694" i="1"/>
  <c r="J694" i="1" s="1"/>
  <c r="K693" i="1"/>
  <c r="J693" i="1" s="1"/>
  <c r="K678" i="1"/>
  <c r="J678" i="1" s="1"/>
  <c r="K677" i="1"/>
  <c r="J677" i="1" s="1"/>
  <c r="K676" i="1"/>
  <c r="J676" i="1" s="1"/>
  <c r="K667" i="1"/>
  <c r="J667" i="1" s="1"/>
  <c r="K666" i="1"/>
  <c r="J666" i="1" s="1"/>
  <c r="K662" i="1"/>
  <c r="J662" i="1" s="1"/>
  <c r="K661" i="1"/>
  <c r="J661" i="1" s="1"/>
  <c r="K658" i="1"/>
  <c r="J658" i="1" s="1"/>
  <c r="K657" i="1"/>
  <c r="J657" i="1" s="1"/>
  <c r="K656" i="1"/>
  <c r="J656" i="1" s="1"/>
  <c r="K654" i="1"/>
  <c r="J654" i="1" s="1"/>
  <c r="K653" i="1"/>
  <c r="J653" i="1" s="1"/>
  <c r="K652" i="1"/>
  <c r="J652" i="1" s="1"/>
  <c r="K651" i="1"/>
  <c r="J651" i="1" s="1"/>
  <c r="K642" i="1"/>
  <c r="J642" i="1" s="1"/>
  <c r="K641" i="1"/>
  <c r="J641" i="1" s="1"/>
  <c r="K640" i="1"/>
  <c r="J640" i="1" s="1"/>
  <c r="K626" i="1"/>
  <c r="J626" i="1" s="1"/>
  <c r="K625" i="1"/>
  <c r="J625" i="1" s="1"/>
  <c r="K624" i="1"/>
  <c r="J624" i="1" s="1"/>
  <c r="K623" i="1"/>
  <c r="J623" i="1" s="1"/>
  <c r="K622" i="1"/>
  <c r="J622" i="1" s="1"/>
  <c r="K614" i="1"/>
  <c r="J614" i="1" s="1"/>
  <c r="K613" i="1"/>
  <c r="J613" i="1" s="1"/>
  <c r="K612" i="1"/>
  <c r="J612" i="1" s="1"/>
  <c r="K606" i="1"/>
  <c r="J606" i="1" s="1"/>
  <c r="K605" i="1"/>
  <c r="J605" i="1" s="1"/>
  <c r="K604" i="1"/>
  <c r="J604" i="1" s="1"/>
  <c r="K603" i="1"/>
  <c r="J603" i="1" s="1"/>
  <c r="K589" i="1"/>
  <c r="J589" i="1" s="1"/>
  <c r="K588" i="1"/>
  <c r="J588" i="1" s="1"/>
  <c r="K587" i="1"/>
  <c r="J587" i="1" s="1"/>
  <c r="K580" i="1"/>
  <c r="J580" i="1" s="1"/>
  <c r="K579" i="1"/>
  <c r="J579" i="1" s="1"/>
  <c r="K578" i="1"/>
  <c r="J578" i="1" s="1"/>
  <c r="K577" i="1"/>
  <c r="J577" i="1" s="1"/>
  <c r="K566" i="1"/>
  <c r="J566" i="1" s="1"/>
  <c r="K565" i="1"/>
  <c r="J565" i="1" s="1"/>
  <c r="K551" i="1"/>
  <c r="J551" i="1" s="1"/>
  <c r="K550" i="1"/>
  <c r="J550" i="1" s="1"/>
  <c r="K545" i="1"/>
  <c r="J545" i="1" s="1"/>
  <c r="K544" i="1"/>
  <c r="J544" i="1" s="1"/>
  <c r="K534" i="1"/>
  <c r="J534" i="1" s="1"/>
  <c r="K533" i="1"/>
  <c r="J533" i="1" s="1"/>
  <c r="K531" i="1"/>
  <c r="J531" i="1" s="1"/>
  <c r="K530" i="1"/>
  <c r="J530" i="1" s="1"/>
  <c r="K529" i="1"/>
  <c r="J529" i="1" s="1"/>
  <c r="F519" i="1"/>
  <c r="F829" i="1" s="1"/>
  <c r="K520" i="1"/>
  <c r="J520" i="1" s="1"/>
  <c r="K513" i="1"/>
  <c r="J513" i="1" s="1"/>
  <c r="K507" i="1"/>
  <c r="J507" i="1" s="1"/>
  <c r="K506" i="1"/>
  <c r="J506" i="1" s="1"/>
  <c r="K505" i="1"/>
  <c r="J505" i="1" s="1"/>
  <c r="K504" i="1"/>
  <c r="J504" i="1" s="1"/>
  <c r="K495" i="1"/>
  <c r="J495" i="1" s="1"/>
  <c r="K494" i="1"/>
  <c r="J494" i="1" s="1"/>
  <c r="K493" i="1"/>
  <c r="J493" i="1" s="1"/>
  <c r="K490" i="1"/>
  <c r="J490" i="1" s="1"/>
  <c r="K489" i="1"/>
  <c r="J489" i="1" s="1"/>
  <c r="K485" i="1"/>
  <c r="J485" i="1" s="1"/>
  <c r="K484" i="1"/>
  <c r="J484" i="1" s="1"/>
  <c r="K483" i="1"/>
  <c r="J483" i="1" s="1"/>
  <c r="K478" i="1"/>
  <c r="J478" i="1" s="1"/>
  <c r="K477" i="1"/>
  <c r="J477" i="1" s="1"/>
  <c r="K476" i="1"/>
  <c r="J476" i="1" s="1"/>
  <c r="K475" i="1"/>
  <c r="J475" i="1" s="1"/>
  <c r="K474" i="1"/>
  <c r="J474" i="1" s="1"/>
  <c r="K465" i="1"/>
  <c r="K459" i="1"/>
  <c r="J459" i="1" s="1"/>
  <c r="K458" i="1"/>
  <c r="J458" i="1" s="1"/>
  <c r="K457" i="1"/>
  <c r="J457" i="1" s="1"/>
  <c r="K453" i="1"/>
  <c r="J453" i="1" s="1"/>
  <c r="K452" i="1"/>
  <c r="J452" i="1" s="1"/>
  <c r="K451" i="1"/>
  <c r="J451" i="1" s="1"/>
  <c r="K446" i="1"/>
  <c r="J446" i="1" s="1"/>
  <c r="K445" i="1"/>
  <c r="J445" i="1" s="1"/>
  <c r="K444" i="1"/>
  <c r="J444" i="1" s="1"/>
  <c r="K440" i="1"/>
  <c r="J440" i="1" s="1"/>
  <c r="K439" i="1"/>
  <c r="J439" i="1" s="1"/>
  <c r="K438" i="1"/>
  <c r="J438" i="1" s="1"/>
  <c r="K437" i="1"/>
  <c r="J437" i="1" s="1"/>
  <c r="K430" i="1"/>
  <c r="J430" i="1" s="1"/>
  <c r="K429" i="1"/>
  <c r="J429" i="1" s="1"/>
  <c r="K428" i="1"/>
  <c r="J428" i="1" s="1"/>
  <c r="K416" i="1"/>
  <c r="J416" i="1" s="1"/>
  <c r="K415" i="1"/>
  <c r="J415" i="1" s="1"/>
  <c r="K414" i="1"/>
  <c r="J414" i="1" s="1"/>
  <c r="K413" i="1"/>
  <c r="J413" i="1" s="1"/>
  <c r="K406" i="1"/>
  <c r="J406" i="1" s="1"/>
  <c r="K405" i="1"/>
  <c r="J405" i="1" s="1"/>
  <c r="K404" i="1"/>
  <c r="J404" i="1" s="1"/>
  <c r="K399" i="1"/>
  <c r="J399" i="1" s="1"/>
  <c r="K398" i="1"/>
  <c r="J398" i="1" s="1"/>
  <c r="K397" i="1"/>
  <c r="J397" i="1" s="1"/>
  <c r="K396" i="1"/>
  <c r="J396" i="1" s="1"/>
  <c r="K388" i="1"/>
  <c r="J388" i="1" s="1"/>
  <c r="K387" i="1"/>
  <c r="J387" i="1" s="1"/>
  <c r="K386" i="1"/>
  <c r="J386" i="1" s="1"/>
  <c r="K385" i="1"/>
  <c r="J385" i="1" s="1"/>
  <c r="K370" i="1"/>
  <c r="J370" i="1" s="1"/>
  <c r="K369" i="1"/>
  <c r="J369" i="1" s="1"/>
  <c r="K368" i="1"/>
  <c r="J368" i="1" s="1"/>
  <c r="K367" i="1"/>
  <c r="J367" i="1" s="1"/>
  <c r="K359" i="1"/>
  <c r="J359" i="1" s="1"/>
  <c r="K358" i="1"/>
  <c r="J358" i="1" s="1"/>
  <c r="K357" i="1"/>
  <c r="J357" i="1" s="1"/>
  <c r="K350" i="1"/>
  <c r="J350" i="1" s="1"/>
  <c r="K349" i="1"/>
  <c r="J349" i="1" s="1"/>
  <c r="K348" i="1"/>
  <c r="J348" i="1" s="1"/>
  <c r="K347" i="1"/>
  <c r="J347" i="1" s="1"/>
  <c r="K346" i="1"/>
  <c r="J346" i="1" s="1"/>
  <c r="K332" i="1"/>
  <c r="J332" i="1" s="1"/>
  <c r="K331" i="1"/>
  <c r="J331" i="1" s="1"/>
  <c r="K330" i="1"/>
  <c r="J330" i="1" s="1"/>
  <c r="K318" i="1"/>
  <c r="J318" i="1" s="1"/>
  <c r="K317" i="1"/>
  <c r="J317" i="1" s="1"/>
  <c r="K312" i="1"/>
  <c r="J312" i="1" s="1"/>
  <c r="K311" i="1"/>
  <c r="J311" i="1" s="1"/>
  <c r="K306" i="1"/>
  <c r="J306" i="1" s="1"/>
  <c r="K302" i="1"/>
  <c r="J302" i="1" s="1"/>
  <c r="K301" i="1"/>
  <c r="J301" i="1" s="1"/>
  <c r="K300" i="1"/>
  <c r="J300" i="1" s="1"/>
  <c r="K299" i="1"/>
  <c r="J299" i="1" s="1"/>
  <c r="K295" i="1"/>
  <c r="J295" i="1" s="1"/>
  <c r="K294" i="1"/>
  <c r="J294" i="1" s="1"/>
  <c r="K282" i="1"/>
  <c r="J282" i="1" s="1"/>
  <c r="K281" i="1"/>
  <c r="J281" i="1" s="1"/>
  <c r="K280" i="1"/>
  <c r="J280" i="1" s="1"/>
  <c r="K276" i="1"/>
  <c r="J276" i="1" s="1"/>
  <c r="K275" i="1"/>
  <c r="J275" i="1" s="1"/>
  <c r="K274" i="1"/>
  <c r="J274" i="1" s="1"/>
  <c r="K273" i="1"/>
  <c r="J273" i="1" s="1"/>
  <c r="K266" i="1"/>
  <c r="J266" i="1" s="1"/>
  <c r="K261" i="1"/>
  <c r="J261" i="1" s="1"/>
  <c r="K260" i="1"/>
  <c r="J260" i="1" s="1"/>
  <c r="K259" i="1"/>
  <c r="J259" i="1" s="1"/>
  <c r="K249" i="1"/>
  <c r="J249" i="1" s="1"/>
  <c r="K248" i="1"/>
  <c r="J248" i="1" s="1"/>
  <c r="K247" i="1"/>
  <c r="J247" i="1" s="1"/>
  <c r="K242" i="1"/>
  <c r="J242" i="1" s="1"/>
  <c r="K241" i="1"/>
  <c r="J241" i="1" s="1"/>
  <c r="K231" i="1"/>
  <c r="J231" i="1" s="1"/>
  <c r="K230" i="1"/>
  <c r="J230" i="1" s="1"/>
  <c r="K229" i="1"/>
  <c r="J229" i="1" s="1"/>
  <c r="K223" i="1"/>
  <c r="J223" i="1" s="1"/>
  <c r="K222" i="1"/>
  <c r="J222" i="1" s="1"/>
  <c r="K221" i="1"/>
  <c r="J221" i="1" s="1"/>
  <c r="K214" i="1"/>
  <c r="J214" i="1" s="1"/>
  <c r="K213" i="1"/>
  <c r="J213" i="1" s="1"/>
  <c r="K212" i="1"/>
  <c r="J212" i="1" s="1"/>
  <c r="K211" i="1"/>
  <c r="J211" i="1" s="1"/>
  <c r="K210" i="1"/>
  <c r="J210" i="1" s="1"/>
  <c r="K197" i="1"/>
  <c r="J197" i="1" s="1"/>
  <c r="K196" i="1"/>
  <c r="J196" i="1" s="1"/>
  <c r="K193" i="1"/>
  <c r="J193" i="1" s="1"/>
  <c r="K192" i="1"/>
  <c r="J192" i="1" s="1"/>
  <c r="K191" i="1"/>
  <c r="K54" i="1"/>
  <c r="J54" i="1" s="1"/>
  <c r="G134" i="1"/>
  <c r="G135" i="1"/>
  <c r="G136" i="1"/>
  <c r="G138" i="1"/>
  <c r="G140" i="1"/>
  <c r="G141" i="1"/>
  <c r="G142" i="1"/>
  <c r="G143" i="1"/>
  <c r="G139" i="1"/>
  <c r="P12" i="11" l="1"/>
  <c r="M12" i="11"/>
  <c r="N12" i="11" s="1"/>
  <c r="L12" i="11"/>
  <c r="N54" i="1"/>
  <c r="H519" i="1"/>
  <c r="K519" i="1" s="1"/>
  <c r="J519" i="1" s="1"/>
  <c r="H718" i="1"/>
  <c r="H719" i="1"/>
  <c r="H181" i="1"/>
  <c r="H182" i="1"/>
  <c r="H186" i="1"/>
  <c r="H187" i="1"/>
  <c r="H194" i="1"/>
  <c r="H195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5" i="1"/>
  <c r="H216" i="1"/>
  <c r="H217" i="1"/>
  <c r="H218" i="1"/>
  <c r="H219" i="1"/>
  <c r="H220" i="1"/>
  <c r="H224" i="1"/>
  <c r="H225" i="1"/>
  <c r="H226" i="1"/>
  <c r="H227" i="1"/>
  <c r="H228" i="1"/>
  <c r="H232" i="1"/>
  <c r="H233" i="1"/>
  <c r="H234" i="1"/>
  <c r="H235" i="1"/>
  <c r="H236" i="1"/>
  <c r="H237" i="1"/>
  <c r="H238" i="1"/>
  <c r="H239" i="1"/>
  <c r="H240" i="1"/>
  <c r="H243" i="1"/>
  <c r="H244" i="1"/>
  <c r="H245" i="1"/>
  <c r="H246" i="1"/>
  <c r="H250" i="1"/>
  <c r="H251" i="1"/>
  <c r="H252" i="1"/>
  <c r="H253" i="1"/>
  <c r="H254" i="1"/>
  <c r="H255" i="1"/>
  <c r="H256" i="1"/>
  <c r="H257" i="1"/>
  <c r="H258" i="1"/>
  <c r="H262" i="1"/>
  <c r="H263" i="1"/>
  <c r="H264" i="1"/>
  <c r="H265" i="1"/>
  <c r="H267" i="1"/>
  <c r="H268" i="1"/>
  <c r="H269" i="1"/>
  <c r="H270" i="1"/>
  <c r="H271" i="1"/>
  <c r="H272" i="1"/>
  <c r="H277" i="1"/>
  <c r="H278" i="1"/>
  <c r="H279" i="1"/>
  <c r="H283" i="1"/>
  <c r="H284" i="1"/>
  <c r="H285" i="1"/>
  <c r="H286" i="1"/>
  <c r="H287" i="1"/>
  <c r="H288" i="1"/>
  <c r="H289" i="1"/>
  <c r="H290" i="1"/>
  <c r="H291" i="1"/>
  <c r="H292" i="1"/>
  <c r="H293" i="1"/>
  <c r="H296" i="1"/>
  <c r="H297" i="1"/>
  <c r="H298" i="1"/>
  <c r="H303" i="1"/>
  <c r="H304" i="1"/>
  <c r="H305" i="1"/>
  <c r="H307" i="1"/>
  <c r="H308" i="1"/>
  <c r="H309" i="1"/>
  <c r="H310" i="1"/>
  <c r="H313" i="1"/>
  <c r="H314" i="1"/>
  <c r="H315" i="1"/>
  <c r="H316" i="1"/>
  <c r="H319" i="1"/>
  <c r="H320" i="1"/>
  <c r="H321" i="1"/>
  <c r="H322" i="1"/>
  <c r="H323" i="1"/>
  <c r="H324" i="1"/>
  <c r="H325" i="1"/>
  <c r="H326" i="1"/>
  <c r="H327" i="1"/>
  <c r="H328" i="1"/>
  <c r="H329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51" i="1"/>
  <c r="H352" i="1"/>
  <c r="H353" i="1"/>
  <c r="H354" i="1"/>
  <c r="H355" i="1"/>
  <c r="H356" i="1"/>
  <c r="H360" i="1"/>
  <c r="H361" i="1"/>
  <c r="H362" i="1"/>
  <c r="H363" i="1"/>
  <c r="H364" i="1"/>
  <c r="H365" i="1"/>
  <c r="H366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9" i="1"/>
  <c r="H390" i="1"/>
  <c r="H391" i="1"/>
  <c r="H392" i="1"/>
  <c r="H393" i="1"/>
  <c r="H394" i="1"/>
  <c r="H395" i="1"/>
  <c r="H400" i="1"/>
  <c r="H401" i="1"/>
  <c r="H402" i="1"/>
  <c r="H403" i="1"/>
  <c r="H407" i="1"/>
  <c r="H408" i="1"/>
  <c r="H409" i="1"/>
  <c r="H410" i="1"/>
  <c r="H411" i="1"/>
  <c r="H412" i="1"/>
  <c r="H417" i="1"/>
  <c r="H418" i="1"/>
  <c r="H419" i="1"/>
  <c r="H420" i="1"/>
  <c r="H421" i="1"/>
  <c r="H422" i="1"/>
  <c r="H423" i="1"/>
  <c r="H424" i="1"/>
  <c r="H425" i="1"/>
  <c r="H426" i="1"/>
  <c r="H431" i="1"/>
  <c r="H432" i="1"/>
  <c r="H433" i="1"/>
  <c r="H434" i="1"/>
  <c r="H435" i="1"/>
  <c r="H436" i="1"/>
  <c r="H441" i="1"/>
  <c r="H442" i="1"/>
  <c r="H443" i="1"/>
  <c r="H447" i="1"/>
  <c r="H448" i="1"/>
  <c r="H449" i="1"/>
  <c r="H450" i="1"/>
  <c r="H454" i="1"/>
  <c r="H455" i="1"/>
  <c r="H456" i="1"/>
  <c r="H460" i="1"/>
  <c r="H461" i="1"/>
  <c r="H466" i="1"/>
  <c r="H467" i="1"/>
  <c r="H468" i="1"/>
  <c r="H469" i="1"/>
  <c r="H470" i="1"/>
  <c r="H471" i="1"/>
  <c r="H472" i="1"/>
  <c r="H473" i="1"/>
  <c r="H479" i="1"/>
  <c r="H480" i="1"/>
  <c r="H481" i="1"/>
  <c r="H482" i="1"/>
  <c r="H486" i="1"/>
  <c r="H487" i="1"/>
  <c r="H488" i="1"/>
  <c r="H491" i="1"/>
  <c r="H492" i="1"/>
  <c r="H496" i="1"/>
  <c r="H497" i="1"/>
  <c r="H498" i="1"/>
  <c r="H499" i="1"/>
  <c r="H500" i="1"/>
  <c r="H501" i="1"/>
  <c r="H502" i="1"/>
  <c r="H503" i="1"/>
  <c r="H508" i="1"/>
  <c r="H509" i="1"/>
  <c r="H510" i="1"/>
  <c r="H511" i="1"/>
  <c r="H512" i="1"/>
  <c r="H514" i="1"/>
  <c r="H515" i="1"/>
  <c r="H516" i="1"/>
  <c r="H517" i="1"/>
  <c r="H518" i="1"/>
  <c r="H521" i="1"/>
  <c r="H522" i="1"/>
  <c r="H523" i="1"/>
  <c r="H524" i="1"/>
  <c r="H525" i="1"/>
  <c r="H526" i="1"/>
  <c r="H527" i="1"/>
  <c r="H528" i="1"/>
  <c r="H532" i="1"/>
  <c r="H535" i="1"/>
  <c r="H536" i="1"/>
  <c r="H537" i="1"/>
  <c r="H538" i="1"/>
  <c r="H539" i="1"/>
  <c r="H540" i="1"/>
  <c r="H541" i="1"/>
  <c r="H542" i="1"/>
  <c r="H543" i="1"/>
  <c r="H546" i="1"/>
  <c r="H547" i="1"/>
  <c r="H548" i="1"/>
  <c r="H549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7" i="1"/>
  <c r="H568" i="1"/>
  <c r="H569" i="1"/>
  <c r="H570" i="1"/>
  <c r="H571" i="1"/>
  <c r="H572" i="1"/>
  <c r="H573" i="1"/>
  <c r="H574" i="1"/>
  <c r="H575" i="1"/>
  <c r="H576" i="1"/>
  <c r="H581" i="1"/>
  <c r="H582" i="1"/>
  <c r="H583" i="1"/>
  <c r="H584" i="1"/>
  <c r="H585" i="1"/>
  <c r="H586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7" i="1"/>
  <c r="H608" i="1"/>
  <c r="H609" i="1"/>
  <c r="H610" i="1"/>
  <c r="H611" i="1"/>
  <c r="H615" i="1"/>
  <c r="H616" i="1"/>
  <c r="H617" i="1"/>
  <c r="H618" i="1"/>
  <c r="H619" i="1"/>
  <c r="H620" i="1"/>
  <c r="H621" i="1"/>
  <c r="H627" i="1"/>
  <c r="H628" i="1"/>
  <c r="H629" i="1"/>
  <c r="H630" i="1"/>
  <c r="H631" i="1"/>
  <c r="H636" i="1"/>
  <c r="H637" i="1"/>
  <c r="H638" i="1"/>
  <c r="H639" i="1"/>
  <c r="H643" i="1"/>
  <c r="H644" i="1"/>
  <c r="H645" i="1"/>
  <c r="H646" i="1"/>
  <c r="H647" i="1"/>
  <c r="H648" i="1"/>
  <c r="H649" i="1"/>
  <c r="H650" i="1"/>
  <c r="H655" i="1"/>
  <c r="H659" i="1"/>
  <c r="H660" i="1"/>
  <c r="H663" i="1"/>
  <c r="H664" i="1"/>
  <c r="H665" i="1"/>
  <c r="H668" i="1"/>
  <c r="H669" i="1"/>
  <c r="H670" i="1"/>
  <c r="H671" i="1"/>
  <c r="H672" i="1"/>
  <c r="H673" i="1"/>
  <c r="H674" i="1"/>
  <c r="H675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6" i="1"/>
  <c r="H697" i="1"/>
  <c r="H698" i="1"/>
  <c r="H699" i="1"/>
  <c r="H700" i="1"/>
  <c r="H701" i="1"/>
  <c r="H702" i="1"/>
  <c r="H703" i="1"/>
  <c r="H704" i="1"/>
  <c r="H710" i="1"/>
  <c r="H714" i="1"/>
  <c r="H715" i="1"/>
  <c r="H716" i="1"/>
  <c r="H717" i="1"/>
  <c r="H720" i="1"/>
  <c r="H721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43" i="1"/>
  <c r="H744" i="1"/>
  <c r="H745" i="1"/>
  <c r="H746" i="1"/>
  <c r="H747" i="1"/>
  <c r="H748" i="1"/>
  <c r="H752" i="1"/>
  <c r="H753" i="1"/>
  <c r="H754" i="1"/>
  <c r="H755" i="1"/>
  <c r="H756" i="1"/>
  <c r="H757" i="1"/>
  <c r="H758" i="1"/>
  <c r="H759" i="1"/>
  <c r="H760" i="1"/>
  <c r="H762" i="1"/>
  <c r="H763" i="1"/>
  <c r="H773" i="1"/>
  <c r="H774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9" i="1"/>
  <c r="H800" i="1"/>
  <c r="H801" i="1"/>
  <c r="H802" i="1"/>
  <c r="H803" i="1"/>
  <c r="H809" i="1"/>
  <c r="H810" i="1"/>
  <c r="H811" i="1"/>
  <c r="H812" i="1"/>
  <c r="H813" i="1"/>
  <c r="H814" i="1"/>
  <c r="H819" i="1"/>
  <c r="H820" i="1"/>
  <c r="H821" i="1"/>
  <c r="H822" i="1"/>
  <c r="H823" i="1"/>
  <c r="H824" i="1"/>
  <c r="H825" i="1"/>
  <c r="H826" i="1"/>
  <c r="H180" i="1"/>
  <c r="R12" i="11" l="1"/>
  <c r="S12" i="11" s="1"/>
  <c r="Q12" i="11"/>
  <c r="K718" i="1"/>
  <c r="K719" i="1"/>
  <c r="K769" i="1"/>
  <c r="G769" i="1" s="1"/>
  <c r="K830" i="1"/>
  <c r="K831" i="1"/>
  <c r="K832" i="1"/>
  <c r="K180" i="1"/>
  <c r="K143" i="1"/>
  <c r="E16" i="6" l="1"/>
  <c r="F10" i="6"/>
  <c r="L829" i="1" l="1"/>
  <c r="K137" i="1"/>
  <c r="K139" i="1"/>
  <c r="K134" i="1"/>
  <c r="K135" i="1"/>
  <c r="K136" i="1"/>
  <c r="K138" i="1"/>
  <c r="K140" i="1"/>
  <c r="K141" i="1"/>
  <c r="K142" i="1"/>
  <c r="J180" i="1" l="1"/>
  <c r="K133" i="1"/>
  <c r="K844" i="1" l="1"/>
  <c r="K845" i="1"/>
  <c r="K846" i="1"/>
  <c r="K848" i="1"/>
  <c r="K849" i="1"/>
  <c r="K850" i="1"/>
  <c r="K851" i="1"/>
  <c r="K852" i="1"/>
  <c r="K853" i="1"/>
  <c r="K854" i="1"/>
  <c r="K855" i="1"/>
  <c r="K856" i="1"/>
  <c r="J856" i="1" s="1"/>
  <c r="K875" i="1"/>
  <c r="K876" i="1"/>
  <c r="K926" i="1"/>
  <c r="K928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J85" i="1" s="1"/>
  <c r="K86" i="1"/>
  <c r="J86" i="1" s="1"/>
  <c r="K87" i="1"/>
  <c r="J87" i="1" s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J874" i="1" l="1"/>
  <c r="N87" i="1"/>
  <c r="N85" i="1"/>
  <c r="N86" i="1"/>
  <c r="K874" i="1"/>
  <c r="K132" i="1"/>
  <c r="J130" i="1"/>
  <c r="J127" i="1"/>
  <c r="J99" i="1"/>
  <c r="J95" i="1"/>
  <c r="J91" i="1"/>
  <c r="J83" i="1"/>
  <c r="J79" i="1"/>
  <c r="J70" i="1"/>
  <c r="J67" i="1"/>
  <c r="J63" i="1"/>
  <c r="J59" i="1"/>
  <c r="J55" i="1"/>
  <c r="J51" i="1"/>
  <c r="J47" i="1"/>
  <c r="J43" i="1"/>
  <c r="J39" i="1"/>
  <c r="J35" i="1"/>
  <c r="J31" i="1"/>
  <c r="J125" i="1"/>
  <c r="J117" i="1"/>
  <c r="J105" i="1"/>
  <c r="J101" i="1"/>
  <c r="J97" i="1"/>
  <c r="J93" i="1"/>
  <c r="J81" i="1"/>
  <c r="J77" i="1"/>
  <c r="J73" i="1"/>
  <c r="J65" i="1"/>
  <c r="J61" i="1"/>
  <c r="J57" i="1"/>
  <c r="J53" i="1"/>
  <c r="J49" i="1"/>
  <c r="J45" i="1"/>
  <c r="J33" i="1"/>
  <c r="J131" i="1"/>
  <c r="J128" i="1"/>
  <c r="J120" i="1"/>
  <c r="J116" i="1"/>
  <c r="J112" i="1"/>
  <c r="J100" i="1"/>
  <c r="J96" i="1"/>
  <c r="J80" i="1"/>
  <c r="J76" i="1"/>
  <c r="J71" i="1"/>
  <c r="J68" i="1"/>
  <c r="J64" i="1"/>
  <c r="J60" i="1"/>
  <c r="J56" i="1"/>
  <c r="J52" i="1"/>
  <c r="J48" i="1"/>
  <c r="J44" i="1"/>
  <c r="J40" i="1"/>
  <c r="J36" i="1"/>
  <c r="J32" i="1"/>
  <c r="J129" i="1"/>
  <c r="J126" i="1"/>
  <c r="J106" i="1"/>
  <c r="J98" i="1"/>
  <c r="J94" i="1"/>
  <c r="J82" i="1"/>
  <c r="J69" i="1"/>
  <c r="J66" i="1"/>
  <c r="J62" i="1"/>
  <c r="J58" i="1"/>
  <c r="J50" i="1"/>
  <c r="J46" i="1"/>
  <c r="J38" i="1"/>
  <c r="J30" i="1"/>
  <c r="K3" i="11" l="1"/>
  <c r="L3" i="11" s="1"/>
  <c r="K4" i="11"/>
  <c r="N50" i="1"/>
  <c r="N106" i="1"/>
  <c r="N52" i="1"/>
  <c r="N120" i="1"/>
  <c r="N57" i="1"/>
  <c r="N125" i="1"/>
  <c r="N55" i="1"/>
  <c r="N69" i="1"/>
  <c r="N68" i="1"/>
  <c r="N73" i="1"/>
  <c r="N39" i="1"/>
  <c r="N95" i="1"/>
  <c r="N58" i="1"/>
  <c r="N82" i="1"/>
  <c r="N40" i="1"/>
  <c r="N71" i="1"/>
  <c r="N128" i="1"/>
  <c r="N61" i="1"/>
  <c r="N77" i="1"/>
  <c r="N101" i="1"/>
  <c r="N43" i="1"/>
  <c r="N79" i="1"/>
  <c r="N38" i="1"/>
  <c r="N62" i="1"/>
  <c r="N94" i="1"/>
  <c r="N129" i="1"/>
  <c r="N44" i="1"/>
  <c r="N60" i="1"/>
  <c r="N76" i="1"/>
  <c r="N112" i="1"/>
  <c r="N131" i="1"/>
  <c r="N49" i="1"/>
  <c r="N65" i="1"/>
  <c r="N81" i="1"/>
  <c r="N105" i="1"/>
  <c r="N31" i="1"/>
  <c r="N47" i="1"/>
  <c r="N63" i="1"/>
  <c r="N83" i="1"/>
  <c r="N127" i="1"/>
  <c r="N36" i="1"/>
  <c r="N96" i="1"/>
  <c r="N97" i="1"/>
  <c r="N70" i="1"/>
  <c r="N30" i="1"/>
  <c r="N126" i="1"/>
  <c r="N56" i="1"/>
  <c r="N100" i="1"/>
  <c r="N45" i="1"/>
  <c r="N59" i="1"/>
  <c r="N99" i="1"/>
  <c r="N46" i="1"/>
  <c r="N66" i="1"/>
  <c r="N98" i="1"/>
  <c r="N32" i="1"/>
  <c r="N48" i="1"/>
  <c r="N64" i="1"/>
  <c r="N80" i="1"/>
  <c r="N116" i="1"/>
  <c r="N33" i="1"/>
  <c r="N53" i="1"/>
  <c r="N93" i="1"/>
  <c r="N117" i="1"/>
  <c r="N35" i="1"/>
  <c r="N51" i="1"/>
  <c r="N67" i="1"/>
  <c r="N91" i="1"/>
  <c r="N130" i="1"/>
  <c r="J132" i="1"/>
  <c r="J143" i="1"/>
  <c r="J142" i="1"/>
  <c r="J141" i="1"/>
  <c r="J140" i="1"/>
  <c r="J139" i="1"/>
  <c r="J138" i="1"/>
  <c r="J137" i="1"/>
  <c r="J136" i="1"/>
  <c r="J135" i="1"/>
  <c r="P3" i="11" l="1"/>
  <c r="Q3" i="11" s="1"/>
  <c r="M3" i="11"/>
  <c r="N3" i="11" s="1"/>
  <c r="M4" i="11"/>
  <c r="N4" i="11" s="1"/>
  <c r="L4" i="11"/>
  <c r="P4" i="11"/>
  <c r="N132" i="1"/>
  <c r="J134" i="1"/>
  <c r="K6" i="11" s="1"/>
  <c r="R3" i="11" l="1"/>
  <c r="S3" i="11" s="1"/>
  <c r="D7" i="6"/>
  <c r="P6" i="11"/>
  <c r="M6" i="11"/>
  <c r="N6" i="11" s="1"/>
  <c r="L6" i="11"/>
  <c r="Q4" i="11"/>
  <c r="R4" i="11"/>
  <c r="S4" i="11" s="1"/>
  <c r="I829" i="1"/>
  <c r="E829" i="1"/>
  <c r="J133" i="1"/>
  <c r="K5" i="11" s="1"/>
  <c r="K5" i="1"/>
  <c r="E29" i="1"/>
  <c r="M5" i="11" l="1"/>
  <c r="L5" i="11"/>
  <c r="P5" i="11"/>
  <c r="Q6" i="11"/>
  <c r="R6" i="11"/>
  <c r="S6" i="11" s="1"/>
  <c r="L930" i="1"/>
  <c r="I930" i="1"/>
  <c r="K29" i="1"/>
  <c r="J5" i="1"/>
  <c r="J29" i="1" s="1"/>
  <c r="R5" i="11" l="1"/>
  <c r="Q5" i="11"/>
  <c r="N5" i="11"/>
  <c r="S5" i="11" l="1"/>
  <c r="K366" i="1" l="1"/>
  <c r="J366" i="1" s="1"/>
  <c r="K644" i="1"/>
  <c r="J644" i="1" s="1"/>
  <c r="K620" i="1"/>
  <c r="J620" i="1" s="1"/>
  <c r="K636" i="1"/>
  <c r="K384" i="1"/>
  <c r="J384" i="1" s="1"/>
  <c r="K290" i="1"/>
  <c r="J290" i="1" s="1"/>
  <c r="K243" i="1"/>
  <c r="K594" i="1"/>
  <c r="J594" i="1" s="1"/>
  <c r="K821" i="1"/>
  <c r="J821" i="1" s="1"/>
  <c r="H829" i="1"/>
  <c r="K525" i="1"/>
  <c r="J525" i="1" s="1"/>
  <c r="K704" i="1"/>
  <c r="J704" i="1" s="1"/>
  <c r="K564" i="1"/>
  <c r="J564" i="1" s="1"/>
  <c r="K801" i="1"/>
  <c r="J801" i="1" s="1"/>
  <c r="K202" i="1"/>
  <c r="J202" i="1" s="1"/>
  <c r="K297" i="1"/>
  <c r="J297" i="1" s="1"/>
  <c r="K354" i="1"/>
  <c r="J354" i="1" s="1"/>
  <c r="K408" i="1"/>
  <c r="J408" i="1" s="1"/>
  <c r="K435" i="1"/>
  <c r="J435" i="1" s="1"/>
  <c r="K674" i="1"/>
  <c r="J674" i="1" s="1"/>
  <c r="K425" i="1"/>
  <c r="J425" i="1" s="1"/>
  <c r="K208" i="1"/>
  <c r="J208" i="1" s="1"/>
  <c r="K710" i="1"/>
  <c r="K812" i="1"/>
  <c r="J812" i="1" s="1"/>
  <c r="K791" i="1"/>
  <c r="J791" i="1" s="1"/>
  <c r="K645" i="1"/>
  <c r="J645" i="1" s="1"/>
  <c r="K269" i="1"/>
  <c r="J269" i="1" s="1"/>
  <c r="K227" i="1"/>
  <c r="J227" i="1" s="1"/>
  <c r="K510" i="1"/>
  <c r="J510" i="1" s="1"/>
  <c r="K716" i="1"/>
  <c r="J716" i="1" s="1"/>
  <c r="K324" i="1"/>
  <c r="J324" i="1" s="1"/>
  <c r="K615" i="1"/>
  <c r="K492" i="1"/>
  <c r="J492" i="1" s="1"/>
  <c r="K697" i="1"/>
  <c r="J697" i="1" s="1"/>
  <c r="K593" i="1"/>
  <c r="J593" i="1" s="1"/>
  <c r="K401" i="1"/>
  <c r="J401" i="1" s="1"/>
  <c r="K549" i="1"/>
  <c r="J549" i="1" s="1"/>
  <c r="K355" i="1"/>
  <c r="J355" i="1" s="1"/>
  <c r="K296" i="1"/>
  <c r="K382" i="1"/>
  <c r="J382" i="1" s="1"/>
  <c r="K286" i="1"/>
  <c r="J286" i="1" s="1"/>
  <c r="K379" i="1"/>
  <c r="J379" i="1" s="1"/>
  <c r="K381" i="1"/>
  <c r="J381" i="1" s="1"/>
  <c r="K698" i="1"/>
  <c r="J698" i="1" s="1"/>
  <c r="K228" i="1"/>
  <c r="J228" i="1" s="1"/>
  <c r="K648" i="1"/>
  <c r="J648" i="1" s="1"/>
  <c r="K441" i="1"/>
  <c r="K799" i="1"/>
  <c r="K423" i="1"/>
  <c r="J423" i="1" s="1"/>
  <c r="K560" i="1"/>
  <c r="J560" i="1" s="1"/>
  <c r="K305" i="1"/>
  <c r="J305" i="1" s="1"/>
  <c r="K762" i="1"/>
  <c r="J762" i="1" s="1"/>
  <c r="K789" i="1"/>
  <c r="J789" i="1" s="1"/>
  <c r="K784" i="1"/>
  <c r="J784" i="1" s="1"/>
  <c r="K757" i="1"/>
  <c r="J757" i="1" s="1"/>
  <c r="K389" i="1"/>
  <c r="K726" i="1"/>
  <c r="K672" i="1"/>
  <c r="J672" i="1" s="1"/>
  <c r="K491" i="1"/>
  <c r="K794" i="1"/>
  <c r="J794" i="1" s="1"/>
  <c r="K472" i="1"/>
  <c r="J472" i="1" s="1"/>
  <c r="K617" i="1"/>
  <c r="J617" i="1" s="1"/>
  <c r="K314" i="1"/>
  <c r="J314" i="1" s="1"/>
  <c r="K572" i="1"/>
  <c r="J572" i="1" s="1"/>
  <c r="K325" i="1"/>
  <c r="J325" i="1" s="1"/>
  <c r="K811" i="1"/>
  <c r="J811" i="1" s="1"/>
  <c r="K582" i="1"/>
  <c r="J582" i="1" s="1"/>
  <c r="K646" i="1"/>
  <c r="J646" i="1" s="1"/>
  <c r="K785" i="1"/>
  <c r="J785" i="1" s="1"/>
  <c r="K378" i="1"/>
  <c r="J378" i="1" s="1"/>
  <c r="K763" i="1"/>
  <c r="J763" i="1" s="1"/>
  <c r="K680" i="1"/>
  <c r="J680" i="1" s="1"/>
  <c r="K272" i="1"/>
  <c r="J272" i="1" s="1"/>
  <c r="K257" i="1"/>
  <c r="J257" i="1" s="1"/>
  <c r="K253" i="1"/>
  <c r="J253" i="1" s="1"/>
  <c r="K515" i="1"/>
  <c r="J515" i="1" s="1"/>
  <c r="K481" i="1"/>
  <c r="J481" i="1" s="1"/>
  <c r="K470" i="1"/>
  <c r="J470" i="1" s="1"/>
  <c r="K469" i="1"/>
  <c r="J469" i="1" s="1"/>
  <c r="K234" i="1"/>
  <c r="J234" i="1" s="1"/>
  <c r="K598" i="1"/>
  <c r="J598" i="1" s="1"/>
  <c r="K616" i="1"/>
  <c r="J616" i="1" s="1"/>
  <c r="K270" i="1"/>
  <c r="J270" i="1" s="1"/>
  <c r="K442" i="1"/>
  <c r="J442" i="1" s="1"/>
  <c r="K239" i="1"/>
  <c r="J239" i="1" s="1"/>
  <c r="K760" i="1"/>
  <c r="J760" i="1" s="1"/>
  <c r="K736" i="1"/>
  <c r="J736" i="1" s="1"/>
  <c r="K322" i="1"/>
  <c r="J322" i="1" s="1"/>
  <c r="K327" i="1"/>
  <c r="J327" i="1" s="1"/>
  <c r="K200" i="1"/>
  <c r="J200" i="1" s="1"/>
  <c r="K219" i="1"/>
  <c r="J219" i="1" s="1"/>
  <c r="K448" i="1"/>
  <c r="J448" i="1" s="1"/>
  <c r="K703" i="1"/>
  <c r="J703" i="1" s="1"/>
  <c r="K536" i="1"/>
  <c r="J536" i="1" s="1"/>
  <c r="K323" i="1"/>
  <c r="J323" i="1" s="1"/>
  <c r="K753" i="1"/>
  <c r="J753" i="1" s="1"/>
  <c r="K670" i="1"/>
  <c r="J670" i="1" s="1"/>
  <c r="K411" i="1"/>
  <c r="J411" i="1" s="1"/>
  <c r="K682" i="1"/>
  <c r="J682" i="1" s="1"/>
  <c r="K575" i="1"/>
  <c r="J575" i="1" s="1"/>
  <c r="K285" i="1"/>
  <c r="J285" i="1" s="1"/>
  <c r="K802" i="1"/>
  <c r="J802" i="1" s="1"/>
  <c r="K205" i="1"/>
  <c r="J205" i="1" s="1"/>
  <c r="K461" i="1"/>
  <c r="J461" i="1" s="1"/>
  <c r="K717" i="1"/>
  <c r="J717" i="1" s="1"/>
  <c r="K687" i="1"/>
  <c r="J687" i="1" s="1"/>
  <c r="K787" i="1"/>
  <c r="J787" i="1" s="1"/>
  <c r="K540" i="1"/>
  <c r="J540" i="1" s="1"/>
  <c r="K263" i="1"/>
  <c r="J263" i="1" s="1"/>
  <c r="K298" i="1"/>
  <c r="J298" i="1" s="1"/>
  <c r="K468" i="1"/>
  <c r="J468" i="1" s="1"/>
  <c r="K701" i="1"/>
  <c r="J701" i="1" s="1"/>
  <c r="K340" i="1"/>
  <c r="J340" i="1" s="1"/>
  <c r="K319" i="1"/>
  <c r="K727" i="1"/>
  <c r="J727" i="1" s="1"/>
  <c r="K619" i="1"/>
  <c r="J619" i="1" s="1"/>
  <c r="K720" i="1"/>
  <c r="J720" i="1" s="1"/>
  <c r="K779" i="1"/>
  <c r="J779" i="1" s="1"/>
  <c r="K189" i="1"/>
  <c r="J189" i="1" s="1"/>
  <c r="K629" i="1"/>
  <c r="J629" i="1" s="1"/>
  <c r="K599" i="1"/>
  <c r="J599" i="1" s="1"/>
  <c r="K581" i="1"/>
  <c r="K754" i="1"/>
  <c r="J754" i="1" s="1"/>
  <c r="K293" i="1"/>
  <c r="J293" i="1" s="1"/>
  <c r="K380" i="1"/>
  <c r="J380" i="1" s="1"/>
  <c r="K226" i="1"/>
  <c r="J226" i="1" s="1"/>
  <c r="K486" i="1"/>
  <c r="K195" i="1"/>
  <c r="J195" i="1" s="1"/>
  <c r="K254" i="1"/>
  <c r="J254" i="1" s="1"/>
  <c r="K383" i="1"/>
  <c r="J383" i="1" s="1"/>
  <c r="K345" i="1"/>
  <c r="J345" i="1" s="1"/>
  <c r="K362" i="1"/>
  <c r="J362" i="1" s="1"/>
  <c r="K514" i="1"/>
  <c r="K573" i="1"/>
  <c r="J573" i="1" s="1"/>
  <c r="K431" i="1"/>
  <c r="K424" i="1"/>
  <c r="J424" i="1" s="1"/>
  <c r="K360" i="1"/>
  <c r="K392" i="1"/>
  <c r="J392" i="1" s="1"/>
  <c r="K480" i="1"/>
  <c r="J480" i="1" s="1"/>
  <c r="K759" i="1"/>
  <c r="J759" i="1" s="1"/>
  <c r="K528" i="1"/>
  <c r="J528" i="1" s="1"/>
  <c r="K402" i="1"/>
  <c r="J402" i="1" s="1"/>
  <c r="K394" i="1"/>
  <c r="J394" i="1" s="1"/>
  <c r="K418" i="1"/>
  <c r="J418" i="1" s="1"/>
  <c r="K541" i="1"/>
  <c r="J541" i="1" s="1"/>
  <c r="K561" i="1"/>
  <c r="J561" i="1" s="1"/>
  <c r="K246" i="1"/>
  <c r="J246" i="1" s="1"/>
  <c r="K265" i="1"/>
  <c r="J265" i="1" s="1"/>
  <c r="K689" i="1"/>
  <c r="J689" i="1" s="1"/>
  <c r="K365" i="1"/>
  <c r="J365" i="1" s="1"/>
  <c r="K592" i="1"/>
  <c r="J592" i="1" s="1"/>
  <c r="K336" i="1"/>
  <c r="J336" i="1" s="1"/>
  <c r="K463" i="1"/>
  <c r="K512" i="1"/>
  <c r="J512" i="1" s="1"/>
  <c r="K731" i="1"/>
  <c r="J731" i="1" s="1"/>
  <c r="K735" i="1"/>
  <c r="J735" i="1" s="1"/>
  <c r="K628" i="1"/>
  <c r="J628" i="1" s="1"/>
  <c r="K427" i="1"/>
  <c r="J427" i="1" s="1"/>
  <c r="K655" i="1"/>
  <c r="K181" i="1"/>
  <c r="K690" i="1"/>
  <c r="J690" i="1" s="1"/>
  <c r="K772" i="1"/>
  <c r="K232" i="1"/>
  <c r="K748" i="1"/>
  <c r="J748" i="1" s="1"/>
  <c r="K403" i="1"/>
  <c r="J403" i="1" s="1"/>
  <c r="K433" i="1"/>
  <c r="J433" i="1" s="1"/>
  <c r="K673" i="1"/>
  <c r="J673" i="1" s="1"/>
  <c r="K686" i="1"/>
  <c r="J686" i="1" s="1"/>
  <c r="K681" i="1"/>
  <c r="J681" i="1" s="1"/>
  <c r="K328" i="1"/>
  <c r="J328" i="1" s="1"/>
  <c r="K207" i="1"/>
  <c r="J207" i="1" s="1"/>
  <c r="K187" i="1"/>
  <c r="J187" i="1" s="1"/>
  <c r="K618" i="1"/>
  <c r="J618" i="1" s="1"/>
  <c r="K729" i="1"/>
  <c r="J729" i="1" s="1"/>
  <c r="K778" i="1"/>
  <c r="J778" i="1" s="1"/>
  <c r="K351" i="1"/>
  <c r="K315" i="1"/>
  <c r="J315" i="1" s="1"/>
  <c r="K409" i="1"/>
  <c r="J409" i="1" s="1"/>
  <c r="K820" i="1"/>
  <c r="J820" i="1" s="1"/>
  <c r="K527" i="1"/>
  <c r="J527" i="1" s="1"/>
  <c r="K733" i="1"/>
  <c r="J733" i="1" s="1"/>
  <c r="K721" i="1"/>
  <c r="J721" i="1" s="1"/>
  <c r="K449" i="1"/>
  <c r="J449" i="1" s="1"/>
  <c r="K252" i="1"/>
  <c r="J252" i="1" s="1"/>
  <c r="K203" i="1"/>
  <c r="J203" i="1" s="1"/>
  <c r="K630" i="1"/>
  <c r="J630" i="1" s="1"/>
  <c r="K773" i="1"/>
  <c r="J773" i="1" s="1"/>
  <c r="K702" i="1"/>
  <c r="J702" i="1" s="1"/>
  <c r="K326" i="1"/>
  <c r="J326" i="1" s="1"/>
  <c r="K538" i="1"/>
  <c r="J538" i="1" s="1"/>
  <c r="K256" i="1"/>
  <c r="J256" i="1" s="1"/>
  <c r="K258" i="1"/>
  <c r="J258" i="1" s="1"/>
  <c r="K814" i="1"/>
  <c r="J814" i="1" s="1"/>
  <c r="K352" i="1"/>
  <c r="J352" i="1" s="1"/>
  <c r="K244" i="1"/>
  <c r="J244" i="1" s="1"/>
  <c r="K715" i="1"/>
  <c r="J715" i="1" s="1"/>
  <c r="K335" i="1"/>
  <c r="J335" i="1" s="1"/>
  <c r="K824" i="1"/>
  <c r="J824" i="1" s="1"/>
  <c r="K516" i="1"/>
  <c r="J516" i="1" s="1"/>
  <c r="K245" i="1"/>
  <c r="J245" i="1" s="1"/>
  <c r="K271" i="1"/>
  <c r="J271" i="1" s="1"/>
  <c r="K419" i="1"/>
  <c r="J419" i="1" s="1"/>
  <c r="K621" i="1"/>
  <c r="J621" i="1" s="1"/>
  <c r="K537" i="1"/>
  <c r="J537" i="1" s="1"/>
  <c r="K745" i="1"/>
  <c r="J745" i="1" s="1"/>
  <c r="K277" i="1"/>
  <c r="K199" i="1"/>
  <c r="J199" i="1" s="1"/>
  <c r="K638" i="1"/>
  <c r="J638" i="1" s="1"/>
  <c r="K518" i="1"/>
  <c r="J518" i="1" s="1"/>
  <c r="K521" i="1"/>
  <c r="K400" i="1"/>
  <c r="K509" i="1"/>
  <c r="J509" i="1" s="1"/>
  <c r="K522" i="1"/>
  <c r="J522" i="1" s="1"/>
  <c r="K466" i="1"/>
  <c r="K700" i="1"/>
  <c r="J700" i="1" s="1"/>
  <c r="K755" i="1"/>
  <c r="J755" i="1" s="1"/>
  <c r="K685" i="1"/>
  <c r="J685" i="1" s="1"/>
  <c r="K279" i="1"/>
  <c r="J279" i="1" s="1"/>
  <c r="K375" i="1"/>
  <c r="J375" i="1" s="1"/>
  <c r="K734" i="1"/>
  <c r="J734" i="1" s="1"/>
  <c r="K356" i="1"/>
  <c r="J356" i="1" s="1"/>
  <c r="K224" i="1"/>
  <c r="K464" i="1"/>
  <c r="K562" i="1"/>
  <c r="J562" i="1" s="1"/>
  <c r="K743" i="1"/>
  <c r="K556" i="1"/>
  <c r="J556" i="1" s="1"/>
  <c r="K333" i="1"/>
  <c r="K602" i="1"/>
  <c r="J602" i="1" s="1"/>
  <c r="K732" i="1"/>
  <c r="J732" i="1" s="1"/>
  <c r="K371" i="1"/>
  <c r="K546" i="1"/>
  <c r="K684" i="1"/>
  <c r="J684" i="1" s="1"/>
  <c r="K337" i="1"/>
  <c r="J337" i="1" s="1"/>
  <c r="K665" i="1"/>
  <c r="J665" i="1" s="1"/>
  <c r="K679" i="1"/>
  <c r="K432" i="1"/>
  <c r="J432" i="1" s="1"/>
  <c r="K782" i="1"/>
  <c r="J782" i="1" s="1"/>
  <c r="K523" i="1"/>
  <c r="J523" i="1" s="1"/>
  <c r="K647" i="1"/>
  <c r="J647" i="1" s="1"/>
  <c r="K790" i="1"/>
  <c r="J790" i="1" s="1"/>
  <c r="K316" i="1"/>
  <c r="J316" i="1" s="1"/>
  <c r="K631" i="1"/>
  <c r="J631" i="1" s="1"/>
  <c r="K559" i="1"/>
  <c r="J559" i="1" s="1"/>
  <c r="K289" i="1"/>
  <c r="J289" i="1" s="1"/>
  <c r="K497" i="1"/>
  <c r="J497" i="1" s="1"/>
  <c r="K683" i="1"/>
  <c r="J683" i="1" s="1"/>
  <c r="K308" i="1"/>
  <c r="J308" i="1" s="1"/>
  <c r="K240" i="1"/>
  <c r="J240" i="1" s="1"/>
  <c r="K237" i="1"/>
  <c r="J237" i="1" s="1"/>
  <c r="K467" i="1"/>
  <c r="J467" i="1" s="1"/>
  <c r="K186" i="1"/>
  <c r="J186" i="1" s="1"/>
  <c r="K610" i="1"/>
  <c r="J610" i="1" s="1"/>
  <c r="K810" i="1"/>
  <c r="J810" i="1" s="1"/>
  <c r="K557" i="1"/>
  <c r="J557" i="1" s="1"/>
  <c r="K800" i="1"/>
  <c r="J800" i="1" s="1"/>
  <c r="K542" i="1"/>
  <c r="J542" i="1" s="1"/>
  <c r="K714" i="1"/>
  <c r="K813" i="1"/>
  <c r="J813" i="1" s="1"/>
  <c r="K238" i="1"/>
  <c r="J238" i="1" s="1"/>
  <c r="K361" i="1"/>
  <c r="J361" i="1" s="1"/>
  <c r="K288" i="1"/>
  <c r="J288" i="1" s="1"/>
  <c r="K372" i="1"/>
  <c r="J372" i="1" s="1"/>
  <c r="K822" i="1"/>
  <c r="J822" i="1" s="1"/>
  <c r="K786" i="1"/>
  <c r="J786" i="1" s="1"/>
  <c r="K663" i="1"/>
  <c r="K675" i="1"/>
  <c r="J675" i="1" s="1"/>
  <c r="K601" i="1"/>
  <c r="J601" i="1" s="1"/>
  <c r="K502" i="1"/>
  <c r="J502" i="1" s="1"/>
  <c r="K498" i="1"/>
  <c r="J498" i="1" s="1"/>
  <c r="K209" i="1"/>
  <c r="J209" i="1" s="1"/>
  <c r="K499" i="1"/>
  <c r="J499" i="1" s="1"/>
  <c r="K487" i="1"/>
  <c r="J487" i="1" s="1"/>
  <c r="K443" i="1"/>
  <c r="J443" i="1" s="1"/>
  <c r="K309" i="1"/>
  <c r="J309" i="1" s="1"/>
  <c r="K730" i="1"/>
  <c r="J730" i="1" s="1"/>
  <c r="K780" i="1"/>
  <c r="J780" i="1" s="1"/>
  <c r="K307" i="1"/>
  <c r="K783" i="1"/>
  <c r="J783" i="1" s="1"/>
  <c r="K563" i="1"/>
  <c r="J563" i="1" s="1"/>
  <c r="K364" i="1"/>
  <c r="J364" i="1" s="1"/>
  <c r="K819" i="1"/>
  <c r="K568" i="1"/>
  <c r="J568" i="1" s="1"/>
  <c r="K517" i="1"/>
  <c r="J517" i="1" s="1"/>
  <c r="K250" i="1"/>
  <c r="K454" i="1"/>
  <c r="K569" i="1"/>
  <c r="J569" i="1" s="1"/>
  <c r="K668" i="1"/>
  <c r="K377" i="1"/>
  <c r="J377" i="1" s="1"/>
  <c r="K339" i="1"/>
  <c r="J339" i="1" s="1"/>
  <c r="K410" i="1"/>
  <c r="J410" i="1" s="1"/>
  <c r="K421" i="1"/>
  <c r="J421" i="1" s="1"/>
  <c r="K669" i="1"/>
  <c r="J669" i="1" s="1"/>
  <c r="K664" i="1"/>
  <c r="J664" i="1" s="1"/>
  <c r="K456" i="1"/>
  <c r="J456" i="1" s="1"/>
  <c r="K188" i="1"/>
  <c r="J188" i="1" s="1"/>
  <c r="K264" i="1"/>
  <c r="J264" i="1" s="1"/>
  <c r="K267" i="1"/>
  <c r="K217" i="1"/>
  <c r="J217" i="1" s="1"/>
  <c r="K225" i="1"/>
  <c r="J225" i="1" s="1"/>
  <c r="K262" i="1"/>
  <c r="K206" i="1"/>
  <c r="J206" i="1" s="1"/>
  <c r="K584" i="1"/>
  <c r="J584" i="1" s="1"/>
  <c r="K420" i="1"/>
  <c r="J420" i="1" s="1"/>
  <c r="K809" i="1"/>
  <c r="K278" i="1"/>
  <c r="J278" i="1" s="1"/>
  <c r="K201" i="1"/>
  <c r="J201" i="1" s="1"/>
  <c r="K823" i="1"/>
  <c r="J823" i="1" s="1"/>
  <c r="K310" i="1"/>
  <c r="J310" i="1" s="1"/>
  <c r="K553" i="1"/>
  <c r="J553" i="1" s="1"/>
  <c r="K283" i="1"/>
  <c r="K793" i="1"/>
  <c r="J793" i="1" s="1"/>
  <c r="K650" i="1"/>
  <c r="J650" i="1" s="1"/>
  <c r="K407" i="1"/>
  <c r="K660" i="1"/>
  <c r="J660" i="1" s="1"/>
  <c r="K198" i="1"/>
  <c r="K329" i="1"/>
  <c r="J329" i="1" s="1"/>
  <c r="K637" i="1"/>
  <c r="J637" i="1" s="1"/>
  <c r="K597" i="1"/>
  <c r="J597" i="1" s="1"/>
  <c r="K292" i="1"/>
  <c r="J292" i="1" s="1"/>
  <c r="K781" i="1"/>
  <c r="J781" i="1" s="1"/>
  <c r="K803" i="1"/>
  <c r="J803" i="1" s="1"/>
  <c r="K570" i="1"/>
  <c r="J570" i="1" s="1"/>
  <c r="K649" i="1"/>
  <c r="J649" i="1" s="1"/>
  <c r="K422" i="1"/>
  <c r="J422" i="1" s="1"/>
  <c r="K756" i="1"/>
  <c r="J756" i="1" s="1"/>
  <c r="K473" i="1"/>
  <c r="J473" i="1" s="1"/>
  <c r="K696" i="1"/>
  <c r="K412" i="1"/>
  <c r="J412" i="1" s="1"/>
  <c r="K524" i="1"/>
  <c r="J524" i="1" s="1"/>
  <c r="K611" i="1"/>
  <c r="J611" i="1" s="1"/>
  <c r="K488" i="1"/>
  <c r="J488" i="1" s="1"/>
  <c r="K576" i="1"/>
  <c r="J576" i="1" s="1"/>
  <c r="K728" i="1"/>
  <c r="J728" i="1" s="1"/>
  <c r="K455" i="1"/>
  <c r="J455" i="1" s="1"/>
  <c r="K774" i="1"/>
  <c r="J774" i="1" s="1"/>
  <c r="K586" i="1"/>
  <c r="J586" i="1" s="1"/>
  <c r="K825" i="1"/>
  <c r="J825" i="1" s="1"/>
  <c r="K788" i="1"/>
  <c r="J788" i="1" s="1"/>
  <c r="K304" i="1"/>
  <c r="J304" i="1" s="1"/>
  <c r="K417" i="1"/>
  <c r="K792" i="1"/>
  <c r="J792" i="1" s="1"/>
  <c r="K600" i="1"/>
  <c r="J600" i="1" s="1"/>
  <c r="K500" i="1"/>
  <c r="J500" i="1" s="1"/>
  <c r="K705" i="1"/>
  <c r="J705" i="1" s="1"/>
  <c r="K287" i="1"/>
  <c r="J287" i="1" s="1"/>
  <c r="K391" i="1"/>
  <c r="J391" i="1" s="1"/>
  <c r="K393" i="1"/>
  <c r="J393" i="1" s="1"/>
  <c r="K558" i="1"/>
  <c r="J558" i="1" s="1"/>
  <c r="K511" i="1"/>
  <c r="J511" i="1" s="1"/>
  <c r="K596" i="1"/>
  <c r="J596" i="1" s="1"/>
  <c r="K374" i="1"/>
  <c r="J374" i="1" s="1"/>
  <c r="K284" i="1"/>
  <c r="J284" i="1" s="1"/>
  <c r="K747" i="1"/>
  <c r="J747" i="1" s="1"/>
  <c r="K236" i="1"/>
  <c r="J236" i="1" s="1"/>
  <c r="K752" i="1"/>
  <c r="K233" i="1"/>
  <c r="J233" i="1" s="1"/>
  <c r="K503" i="1"/>
  <c r="J503" i="1" s="1"/>
  <c r="K659" i="1"/>
  <c r="K543" i="1"/>
  <c r="J543" i="1" s="1"/>
  <c r="K343" i="1"/>
  <c r="J343" i="1" s="1"/>
  <c r="K194" i="1"/>
  <c r="K218" i="1"/>
  <c r="J218" i="1" s="1"/>
  <c r="K353" i="1"/>
  <c r="J353" i="1" s="1"/>
  <c r="K376" i="1"/>
  <c r="J376" i="1" s="1"/>
  <c r="K535" i="1"/>
  <c r="K532" i="1"/>
  <c r="K255" i="1"/>
  <c r="J255" i="1" s="1"/>
  <c r="K251" i="1"/>
  <c r="J251" i="1" s="1"/>
  <c r="K313" i="1"/>
  <c r="K688" i="1"/>
  <c r="J688" i="1" s="1"/>
  <c r="K595" i="1"/>
  <c r="J595" i="1" s="1"/>
  <c r="K691" i="1"/>
  <c r="J691" i="1" s="1"/>
  <c r="K390" i="1"/>
  <c r="J390" i="1" s="1"/>
  <c r="K692" i="1"/>
  <c r="J692" i="1" s="1"/>
  <c r="K434" i="1"/>
  <c r="J434" i="1" s="1"/>
  <c r="K334" i="1"/>
  <c r="J334" i="1" s="1"/>
  <c r="K496" i="1"/>
  <c r="K183" i="1"/>
  <c r="J183" i="1" s="1"/>
  <c r="K777" i="1"/>
  <c r="K699" i="1"/>
  <c r="J699" i="1" s="1"/>
  <c r="K338" i="1"/>
  <c r="J338" i="1" s="1"/>
  <c r="K746" i="1"/>
  <c r="J746" i="1" s="1"/>
  <c r="K567" i="1"/>
  <c r="K555" i="1"/>
  <c r="J555" i="1" s="1"/>
  <c r="K501" i="1"/>
  <c r="J501" i="1" s="1"/>
  <c r="K204" i="1"/>
  <c r="J204" i="1" s="1"/>
  <c r="K479" i="1"/>
  <c r="K450" i="1"/>
  <c r="J450" i="1" s="1"/>
  <c r="K395" i="1"/>
  <c r="J395" i="1" s="1"/>
  <c r="K216" i="1"/>
  <c r="J216" i="1" s="1"/>
  <c r="K639" i="1"/>
  <c r="J639" i="1" s="1"/>
  <c r="K671" i="1"/>
  <c r="J671" i="1" s="1"/>
  <c r="K182" i="1"/>
  <c r="J182" i="1" s="1"/>
  <c r="K321" i="1"/>
  <c r="J321" i="1" s="1"/>
  <c r="K447" i="1"/>
  <c r="K220" i="1"/>
  <c r="J220" i="1" s="1"/>
  <c r="K826" i="1"/>
  <c r="J826" i="1" s="1"/>
  <c r="K268" i="1"/>
  <c r="J268" i="1" s="1"/>
  <c r="K303" i="1"/>
  <c r="K342" i="1"/>
  <c r="J342" i="1" s="1"/>
  <c r="K554" i="1"/>
  <c r="J554" i="1" s="1"/>
  <c r="K235" i="1"/>
  <c r="J235" i="1" s="1"/>
  <c r="K373" i="1"/>
  <c r="J373" i="1" s="1"/>
  <c r="K607" i="1"/>
  <c r="K460" i="1"/>
  <c r="K344" i="1"/>
  <c r="J344" i="1" s="1"/>
  <c r="K609" i="1"/>
  <c r="J609" i="1" s="1"/>
  <c r="K471" i="1"/>
  <c r="J471" i="1" s="1"/>
  <c r="K583" i="1"/>
  <c r="J583" i="1" s="1"/>
  <c r="K508" i="1"/>
  <c r="K571" i="1"/>
  <c r="J571" i="1" s="1"/>
  <c r="K526" i="1"/>
  <c r="J526" i="1" s="1"/>
  <c r="K320" i="1"/>
  <c r="J320" i="1" s="1"/>
  <c r="K341" i="1"/>
  <c r="J341" i="1" s="1"/>
  <c r="K547" i="1"/>
  <c r="J547" i="1" s="1"/>
  <c r="K548" i="1"/>
  <c r="J548" i="1" s="1"/>
  <c r="K552" i="1"/>
  <c r="K291" i="1"/>
  <c r="J291" i="1" s="1"/>
  <c r="K574" i="1"/>
  <c r="J574" i="1" s="1"/>
  <c r="K585" i="1"/>
  <c r="J585" i="1" s="1"/>
  <c r="K215" i="1"/>
  <c r="K591" i="1"/>
  <c r="J591" i="1" s="1"/>
  <c r="K758" i="1"/>
  <c r="J758" i="1" s="1"/>
  <c r="K426" i="1"/>
  <c r="J426" i="1" s="1"/>
  <c r="K608" i="1"/>
  <c r="J608" i="1" s="1"/>
  <c r="K590" i="1"/>
  <c r="K539" i="1"/>
  <c r="J539" i="1" s="1"/>
  <c r="K737" i="1"/>
  <c r="J737" i="1" s="1"/>
  <c r="K482" i="1"/>
  <c r="J482" i="1" s="1"/>
  <c r="K436" i="1"/>
  <c r="J436" i="1" s="1"/>
  <c r="K627" i="1"/>
  <c r="K363" i="1"/>
  <c r="J363" i="1" s="1"/>
  <c r="K744" i="1"/>
  <c r="J744" i="1" s="1"/>
  <c r="K643" i="1"/>
  <c r="G460" i="1" l="1"/>
  <c r="J215" i="1"/>
  <c r="G215" i="1"/>
  <c r="J535" i="1"/>
  <c r="G535" i="1"/>
  <c r="J454" i="1"/>
  <c r="G454" i="1"/>
  <c r="J307" i="1"/>
  <c r="G307" i="1"/>
  <c r="J514" i="1"/>
  <c r="G514" i="1"/>
  <c r="J532" i="1"/>
  <c r="G532" i="1"/>
  <c r="J659" i="1"/>
  <c r="G659" i="1"/>
  <c r="J283" i="1"/>
  <c r="G283" i="1"/>
  <c r="J371" i="1"/>
  <c r="G371" i="1"/>
  <c r="J224" i="1"/>
  <c r="G224" i="1"/>
  <c r="J466" i="1"/>
  <c r="G466" i="1"/>
  <c r="J277" i="1"/>
  <c r="G277" i="1"/>
  <c r="J441" i="1"/>
  <c r="G441" i="1"/>
  <c r="J296" i="1"/>
  <c r="G296" i="1"/>
  <c r="J710" i="1"/>
  <c r="G710" i="1"/>
  <c r="J243" i="1"/>
  <c r="G243" i="1"/>
  <c r="J417" i="1"/>
  <c r="G417" i="1"/>
  <c r="J460" i="1"/>
  <c r="J567" i="1"/>
  <c r="G567" i="1"/>
  <c r="J668" i="1"/>
  <c r="G668" i="1"/>
  <c r="J546" i="1"/>
  <c r="G546" i="1"/>
  <c r="J486" i="1"/>
  <c r="G486" i="1"/>
  <c r="J627" i="1"/>
  <c r="G627" i="1"/>
  <c r="J809" i="1"/>
  <c r="G809" i="1"/>
  <c r="J496" i="1"/>
  <c r="G496" i="1"/>
  <c r="J407" i="1"/>
  <c r="G407" i="1"/>
  <c r="J267" i="1"/>
  <c r="G267" i="1"/>
  <c r="J819" i="1"/>
  <c r="G819" i="1"/>
  <c r="J663" i="1"/>
  <c r="G663" i="1"/>
  <c r="J714" i="1"/>
  <c r="G714" i="1"/>
  <c r="J743" i="1"/>
  <c r="G743" i="1"/>
  <c r="J360" i="1"/>
  <c r="G360" i="1"/>
  <c r="J726" i="1"/>
  <c r="G726" i="1"/>
  <c r="J607" i="1"/>
  <c r="G607" i="1"/>
  <c r="J262" i="1"/>
  <c r="G262" i="1"/>
  <c r="J303" i="1"/>
  <c r="G303" i="1"/>
  <c r="J696" i="1"/>
  <c r="G696" i="1"/>
  <c r="J655" i="1"/>
  <c r="G655" i="1"/>
  <c r="J431" i="1"/>
  <c r="G431" i="1"/>
  <c r="J799" i="1"/>
  <c r="G799" i="1"/>
  <c r="J615" i="1"/>
  <c r="G615" i="1"/>
  <c r="J351" i="1"/>
  <c r="G351" i="1"/>
  <c r="J181" i="1"/>
  <c r="G180" i="1"/>
  <c r="J194" i="1"/>
  <c r="G194" i="1"/>
  <c r="J590" i="1"/>
  <c r="G590" i="1"/>
  <c r="J508" i="1"/>
  <c r="G508" i="1"/>
  <c r="J521" i="1"/>
  <c r="G521" i="1"/>
  <c r="J772" i="1"/>
  <c r="G772" i="1"/>
  <c r="J581" i="1"/>
  <c r="G581" i="1"/>
  <c r="J319" i="1"/>
  <c r="G319" i="1"/>
  <c r="J250" i="1"/>
  <c r="G250" i="1"/>
  <c r="J389" i="1"/>
  <c r="G389" i="1"/>
  <c r="J552" i="1"/>
  <c r="G552" i="1"/>
  <c r="J313" i="1"/>
  <c r="G313" i="1"/>
  <c r="J643" i="1"/>
  <c r="G643" i="1"/>
  <c r="J447" i="1"/>
  <c r="G447" i="1"/>
  <c r="J479" i="1"/>
  <c r="G479" i="1"/>
  <c r="J777" i="1"/>
  <c r="G777" i="1"/>
  <c r="J752" i="1"/>
  <c r="G752" i="1"/>
  <c r="J198" i="1"/>
  <c r="G198" i="1"/>
  <c r="J679" i="1"/>
  <c r="G679" i="1"/>
  <c r="J333" i="1"/>
  <c r="G333" i="1"/>
  <c r="J400" i="1"/>
  <c r="G400" i="1"/>
  <c r="J232" i="1"/>
  <c r="G232" i="1"/>
  <c r="J491" i="1"/>
  <c r="G491" i="1"/>
  <c r="J636" i="1"/>
  <c r="G636" i="1"/>
  <c r="D40" i="6"/>
  <c r="F40" i="6" s="1"/>
  <c r="K829" i="1"/>
  <c r="K930" i="1" s="1"/>
  <c r="J829" i="1" l="1"/>
  <c r="J930" i="1" s="1"/>
  <c r="K9" i="11"/>
  <c r="D124" i="6"/>
  <c r="F124" i="6" s="1"/>
  <c r="D90" i="6"/>
  <c r="F90" i="6" s="1"/>
  <c r="K13" i="11" l="1"/>
  <c r="P9" i="11"/>
  <c r="L9" i="11"/>
  <c r="L13" i="11" s="1"/>
  <c r="M9" i="11"/>
  <c r="P13" i="11" l="1"/>
  <c r="Q9" i="11"/>
  <c r="Q13" i="11" s="1"/>
  <c r="R9" i="11"/>
  <c r="M13" i="11"/>
  <c r="N9" i="11"/>
  <c r="R13" i="11" l="1"/>
  <c r="S9" i="11"/>
  <c r="S13" i="11" s="1"/>
  <c r="N13" i="11"/>
  <c r="D7" i="8"/>
  <c r="D29" i="6" l="1"/>
  <c r="F29" i="6" s="1"/>
  <c r="D9" i="6"/>
  <c r="D105" i="6"/>
  <c r="F105" i="6" s="1"/>
  <c r="D68" i="6"/>
  <c r="F68" i="6" s="1"/>
  <c r="D125" i="6" l="1"/>
  <c r="F125" i="6" s="1"/>
  <c r="D91" i="6"/>
  <c r="F91" i="6" s="1"/>
  <c r="D41" i="6"/>
  <c r="F41" i="6" s="1"/>
  <c r="D16" i="6"/>
  <c r="F16" i="6" s="1"/>
  <c r="D9" i="8" l="1"/>
  <c r="D67" i="8" l="1"/>
  <c r="F67" i="8" s="1"/>
  <c r="D16" i="8"/>
  <c r="F16" i="8" s="1"/>
  <c r="D27" i="8"/>
  <c r="F27" i="8" s="1"/>
  <c r="D49" i="8"/>
  <c r="F49" i="8" s="1"/>
</calcChain>
</file>

<file path=xl/sharedStrings.xml><?xml version="1.0" encoding="utf-8"?>
<sst xmlns="http://schemas.openxmlformats.org/spreadsheetml/2006/main" count="3100" uniqueCount="902">
  <si>
    <t>ZONA</t>
  </si>
  <si>
    <t>TERRITORIALE</t>
  </si>
  <si>
    <t>FONDIARIA</t>
  </si>
  <si>
    <t>FONDIARIO</t>
  </si>
  <si>
    <t>A</t>
  </si>
  <si>
    <t>B</t>
  </si>
  <si>
    <t>C</t>
  </si>
  <si>
    <t>D</t>
  </si>
  <si>
    <t>E</t>
  </si>
  <si>
    <t>F</t>
  </si>
  <si>
    <t>G</t>
  </si>
  <si>
    <t>TOT</t>
  </si>
  <si>
    <t>H</t>
  </si>
  <si>
    <t>DENOMINAZIONE</t>
  </si>
  <si>
    <t>SUPERFICIE (mq)</t>
  </si>
  <si>
    <t>VOLUMI (mc)</t>
  </si>
  <si>
    <t>INDICE (mc/mq)</t>
  </si>
  <si>
    <t>S1</t>
  </si>
  <si>
    <t>S2</t>
  </si>
  <si>
    <t>S3</t>
  </si>
  <si>
    <t>S4</t>
  </si>
  <si>
    <t>AREA</t>
  </si>
  <si>
    <t>SUPERFICI MINIME
D.A. 2266/U 20.12.1983</t>
  </si>
  <si>
    <t>SUPERFICI
ESISTENTI</t>
  </si>
  <si>
    <t>DIFFERENZA</t>
  </si>
  <si>
    <t>TOTALE generale</t>
  </si>
  <si>
    <t>G1.1</t>
  </si>
  <si>
    <t>G1.2</t>
  </si>
  <si>
    <t>Comparto piano vigente</t>
  </si>
  <si>
    <t>Comparto PUC in progetto</t>
  </si>
  <si>
    <t>REALIZZABILI
Realizzati + Da realizzare</t>
  </si>
  <si>
    <t>DA REALIZZARE**</t>
  </si>
  <si>
    <t>tot A</t>
  </si>
  <si>
    <t>tot B</t>
  </si>
  <si>
    <t>Convenzione</t>
  </si>
  <si>
    <t>PIANO ATTUATIVO</t>
  </si>
  <si>
    <t>Denominazione / Localizzazione</t>
  </si>
  <si>
    <t>F1.1</t>
  </si>
  <si>
    <t>F1.2</t>
  </si>
  <si>
    <t>E1</t>
  </si>
  <si>
    <t>tot C</t>
  </si>
  <si>
    <t>tot D</t>
  </si>
  <si>
    <t>tot E</t>
  </si>
  <si>
    <t>tot F</t>
  </si>
  <si>
    <t>tot G</t>
  </si>
  <si>
    <t>tot H</t>
  </si>
  <si>
    <t>Tot S1</t>
  </si>
  <si>
    <t>Tot S3</t>
  </si>
  <si>
    <t>Dimostrazione Standard di zona A e B</t>
  </si>
  <si>
    <t>C1.1</t>
  </si>
  <si>
    <t>C1.2</t>
  </si>
  <si>
    <t>D2.1</t>
  </si>
  <si>
    <t>*Volumi realizzati: edificati al momento delle valutazione dello stato di attuazione; da identificare quelli c.d. "vuoti" cioè disponibili per la vendita/affitto sul mercato e quindi potenzialmente disponibili per accogliere nuovi residenti e/o abitanti a vario titolo. I volumi realizzati dovrebbero rappresentare la somma dei Volumi occupati dai residenti, da abitanti a vario titolo e Vuoti disponibili sul mercato.</t>
  </si>
  <si>
    <t xml:space="preserve">** Volumi da realizzare: di futura edificazione in base ai Piani Attuativi e ai paramentri urbanistici previsti nel nuovo PUC. </t>
  </si>
  <si>
    <t>***Abitanti insediati: da distinguere in Residenti e non residenti (Abitanti a vario titolo: turisti, lavoratori, studenti, altro..)</t>
  </si>
  <si>
    <r>
      <t xml:space="preserve">REALIZZATI* </t>
    </r>
    <r>
      <rPr>
        <sz val="8"/>
        <rFont val="Arial"/>
        <family val="2"/>
      </rPr>
      <t xml:space="preserve">(occupati da: Residenti+Non Residenti+Vuoti) </t>
    </r>
  </si>
  <si>
    <t>***** Parametro dedotto e dimostrato in base alle abitudini abitative della zona o del comparto, tenendo anche conto dei volumi effettivamente occupati (Realizzati - Vuoti) e dei volumi dei servizi connessi e pubblici</t>
  </si>
  <si>
    <t xml:space="preserve">**** Abitanti da insediare: da calcolare con riferimento ai volumi vuoti e Da realizzare; specificare pertanto, anche nel campo note la percentuale di abitanti da insediare nei volumi vuoti. </t>
  </si>
  <si>
    <t>BURAS</t>
  </si>
  <si>
    <t>Stato di attuazione</t>
  </si>
  <si>
    <t xml:space="preserve">Ammissibilità/vigenza del Piano Attuativo ai sensi della normativa sovraordinata vigente. </t>
  </si>
  <si>
    <t>Autorizzazione Paesaggistica</t>
  </si>
  <si>
    <t>Concessione OO.UU.</t>
  </si>
  <si>
    <t>Data avvio OO.UU.</t>
  </si>
  <si>
    <t>Data conclusione OO.UU.</t>
  </si>
  <si>
    <t>Collaudo e presa in carico 
OO. UU.</t>
  </si>
  <si>
    <t>Tabella riepilogativa del dimensionamento dello stato di attuazione dello strumento urbanistico vigente / dello stato di progetto del PUC</t>
  </si>
  <si>
    <t>BE2</t>
  </si>
  <si>
    <t>BE1</t>
  </si>
  <si>
    <t>LOIRI</t>
  </si>
  <si>
    <t>B1.9</t>
  </si>
  <si>
    <t>LU STANGU</t>
  </si>
  <si>
    <t>VACCILEDDI</t>
  </si>
  <si>
    <t>MONTE PETROSU</t>
  </si>
  <si>
    <t>PORTO TAVERNA</t>
  </si>
  <si>
    <t>C1.3</t>
  </si>
  <si>
    <t>C1.4</t>
  </si>
  <si>
    <t>C1.5</t>
  </si>
  <si>
    <t>C1.6</t>
  </si>
  <si>
    <t>C1.7</t>
  </si>
  <si>
    <t>C1.8</t>
  </si>
  <si>
    <t>C1.9</t>
  </si>
  <si>
    <t>C1.10</t>
  </si>
  <si>
    <t>C1.11</t>
  </si>
  <si>
    <t>D2.6</t>
  </si>
  <si>
    <t>D2.4</t>
  </si>
  <si>
    <t>F1.5</t>
  </si>
  <si>
    <t>F1.7</t>
  </si>
  <si>
    <t>F1.8</t>
  </si>
  <si>
    <t>F1.11</t>
  </si>
  <si>
    <t>F1.9</t>
  </si>
  <si>
    <t>F1.6</t>
  </si>
  <si>
    <t>B.1.1</t>
  </si>
  <si>
    <t>B.1.2</t>
  </si>
  <si>
    <t>B.1.3</t>
  </si>
  <si>
    <t>B.1.4</t>
  </si>
  <si>
    <t>B.1.5</t>
  </si>
  <si>
    <t>B.1.6</t>
  </si>
  <si>
    <t>B.1.8</t>
  </si>
  <si>
    <t>B.1.10</t>
  </si>
  <si>
    <t>B.1.11</t>
  </si>
  <si>
    <t>B.1.7</t>
  </si>
  <si>
    <t>B.1.12</t>
  </si>
  <si>
    <t>B.1.21</t>
  </si>
  <si>
    <t>B.2.1</t>
  </si>
  <si>
    <t>B.2.2</t>
  </si>
  <si>
    <t>B.2.3</t>
  </si>
  <si>
    <t>B.2.4</t>
  </si>
  <si>
    <t>B.2.5</t>
  </si>
  <si>
    <t>B.2.6</t>
  </si>
  <si>
    <t>B.2.7</t>
  </si>
  <si>
    <t>B.2.8</t>
  </si>
  <si>
    <t>B.2.9</t>
  </si>
  <si>
    <t>B.2.10</t>
  </si>
  <si>
    <t>B.2.12</t>
  </si>
  <si>
    <t>B.2.13</t>
  </si>
  <si>
    <t>B.2.14</t>
  </si>
  <si>
    <t>B.2.15</t>
  </si>
  <si>
    <t>B.2.16</t>
  </si>
  <si>
    <t>B.2.17</t>
  </si>
  <si>
    <t>B.2.18</t>
  </si>
  <si>
    <t>B.2.11</t>
  </si>
  <si>
    <t>B.2.19</t>
  </si>
  <si>
    <t>B.2.20</t>
  </si>
  <si>
    <t>B.2.21</t>
  </si>
  <si>
    <t>B.2.22</t>
  </si>
  <si>
    <t>B.2.23</t>
  </si>
  <si>
    <t>B.2.24</t>
  </si>
  <si>
    <t>B.2.25</t>
  </si>
  <si>
    <t>B.2.26</t>
  </si>
  <si>
    <t>B.1.13</t>
  </si>
  <si>
    <t>B.1.14</t>
  </si>
  <si>
    <t>B.1.15</t>
  </si>
  <si>
    <t>B.1.16</t>
  </si>
  <si>
    <t>B.1.17</t>
  </si>
  <si>
    <t>B.1.18</t>
  </si>
  <si>
    <t>B.1.19</t>
  </si>
  <si>
    <t>B.1.20</t>
  </si>
  <si>
    <t>B.2.27</t>
  </si>
  <si>
    <t>B.2.28</t>
  </si>
  <si>
    <t>B.2.29</t>
  </si>
  <si>
    <t>B.2.30</t>
  </si>
  <si>
    <t>B.2.31</t>
  </si>
  <si>
    <t>B.2.32</t>
  </si>
  <si>
    <t>B.2.33</t>
  </si>
  <si>
    <t>B.2.34</t>
  </si>
  <si>
    <t>B.2.35</t>
  </si>
  <si>
    <t>B.2.36</t>
  </si>
  <si>
    <t>B.2.37</t>
  </si>
  <si>
    <t>B.2.38</t>
  </si>
  <si>
    <t>B.2.39</t>
  </si>
  <si>
    <t>B.2.40</t>
  </si>
  <si>
    <t>B.2.41</t>
  </si>
  <si>
    <t>B.2.42</t>
  </si>
  <si>
    <t>B.2.43</t>
  </si>
  <si>
    <t>B.2.44</t>
  </si>
  <si>
    <t>B.2.45</t>
  </si>
  <si>
    <t>B.2.46</t>
  </si>
  <si>
    <t>B.2.47</t>
  </si>
  <si>
    <t>B.2.48</t>
  </si>
  <si>
    <t>B.2.49</t>
  </si>
  <si>
    <t>B.2.50</t>
  </si>
  <si>
    <t>B.2.51</t>
  </si>
  <si>
    <t>B.2.52</t>
  </si>
  <si>
    <t>B.2.53</t>
  </si>
  <si>
    <t>B.2.54</t>
  </si>
  <si>
    <t>B.2.55</t>
  </si>
  <si>
    <t>B.2.56</t>
  </si>
  <si>
    <t>B.2.57</t>
  </si>
  <si>
    <t>B.2.58</t>
  </si>
  <si>
    <t>B.2.59</t>
  </si>
  <si>
    <t>B.2.60</t>
  </si>
  <si>
    <t>B.2.80</t>
  </si>
  <si>
    <t>B.2.81</t>
  </si>
  <si>
    <t>B.2.82</t>
  </si>
  <si>
    <t>B.2.77</t>
  </si>
  <si>
    <t>B.2.78</t>
  </si>
  <si>
    <t>B.2.79</t>
  </si>
  <si>
    <t>B.2.65</t>
  </si>
  <si>
    <t>B.2.61</t>
  </si>
  <si>
    <t>B.2.62</t>
  </si>
  <si>
    <t>B.2.63</t>
  </si>
  <si>
    <t>ALDIA BIANCA</t>
  </si>
  <si>
    <t>B.2.64</t>
  </si>
  <si>
    <t>B.2.66</t>
  </si>
  <si>
    <t>B.2.67</t>
  </si>
  <si>
    <t>B.2.68</t>
  </si>
  <si>
    <t>B.2.69</t>
  </si>
  <si>
    <t>B.2.70</t>
  </si>
  <si>
    <t>B.2.71</t>
  </si>
  <si>
    <t>B.2.73</t>
  </si>
  <si>
    <t>B.2.74</t>
  </si>
  <si>
    <t>B.2.75</t>
  </si>
  <si>
    <t>PORTO SAN PAOLO</t>
  </si>
  <si>
    <t>B2</t>
  </si>
  <si>
    <t>B1</t>
  </si>
  <si>
    <t>B1-B2</t>
  </si>
  <si>
    <t>B2-B3</t>
  </si>
  <si>
    <t>B2-E</t>
  </si>
  <si>
    <t>B3-E</t>
  </si>
  <si>
    <t>B3</t>
  </si>
  <si>
    <t>C2</t>
  </si>
  <si>
    <t>B1-B3</t>
  </si>
  <si>
    <t>B4</t>
  </si>
  <si>
    <t>C1-C2</t>
  </si>
  <si>
    <t>Loiri - Cugnana Fiori</t>
  </si>
  <si>
    <t>C3</t>
  </si>
  <si>
    <t>Porto San Paolo - Tavolara e Più</t>
  </si>
  <si>
    <t>Porto San Paolo - L'ea di L'Avru</t>
  </si>
  <si>
    <t>Porto San Paolo - Le Vigne</t>
  </si>
  <si>
    <t>C1</t>
  </si>
  <si>
    <t>Porto San Paolo - Lu Stazzu</t>
  </si>
  <si>
    <t>Porto San Paolo - Decandia Coro</t>
  </si>
  <si>
    <t>Porto San Paolo - decandia Chiara e Più</t>
  </si>
  <si>
    <t>Porto San Paolo - Piredda Andrea e Più</t>
  </si>
  <si>
    <t>Porto San Paolo - Pugliese e Più</t>
  </si>
  <si>
    <t>Vaccileddi - Fideli Brandano</t>
  </si>
  <si>
    <t>Monte Petrosu - Lu Nibareddu</t>
  </si>
  <si>
    <t>Cb1</t>
  </si>
  <si>
    <t>Enas - Lotto 1</t>
  </si>
  <si>
    <t>Enas - Lotto 2</t>
  </si>
  <si>
    <t>Enas - Lotto 3</t>
  </si>
  <si>
    <t>Enas - Lotto 4</t>
  </si>
  <si>
    <t>Enas - Lotto 5</t>
  </si>
  <si>
    <t>Enas - Lotto 6</t>
  </si>
  <si>
    <t>Enas - Lotto 7</t>
  </si>
  <si>
    <t>Enas - Lotto 8</t>
  </si>
  <si>
    <t>Enas - Lotto 9</t>
  </si>
  <si>
    <t>Cb2</t>
  </si>
  <si>
    <t>Cb3</t>
  </si>
  <si>
    <t>Enas - Lotto 10</t>
  </si>
  <si>
    <t>Enas - Lotto 11</t>
  </si>
  <si>
    <t>Cb4</t>
  </si>
  <si>
    <t>Cb5</t>
  </si>
  <si>
    <t>Cb6</t>
  </si>
  <si>
    <t>Cb7</t>
  </si>
  <si>
    <t>Cb8</t>
  </si>
  <si>
    <t>Enas - Lotto1</t>
  </si>
  <si>
    <t>Enas - Lotto2</t>
  </si>
  <si>
    <t>Enas - Lotto3</t>
  </si>
  <si>
    <t>Enas - Lotto4</t>
  </si>
  <si>
    <t>Enas - Lotto5</t>
  </si>
  <si>
    <t>Enas - Lotto6</t>
  </si>
  <si>
    <t>Enas - Lotto7</t>
  </si>
  <si>
    <t>Enas - Lotto8</t>
  </si>
  <si>
    <t>Enas - Lotto9</t>
  </si>
  <si>
    <t>Cb9</t>
  </si>
  <si>
    <t>Cb10</t>
  </si>
  <si>
    <t>Cb11</t>
  </si>
  <si>
    <t>Montelittu - Lotto 1</t>
  </si>
  <si>
    <t>Montelittu - Lotto 2</t>
  </si>
  <si>
    <t>Montelittu - Lotto 3</t>
  </si>
  <si>
    <t>Montelittu - Lotto 4</t>
  </si>
  <si>
    <t>Montelittu - Lotto 5</t>
  </si>
  <si>
    <t>Montelittu - Lotto 6</t>
  </si>
  <si>
    <t>Montelittu - Lotto 7</t>
  </si>
  <si>
    <t>Montelittu - Lotto 8</t>
  </si>
  <si>
    <t>Montelittu - Lotto 9</t>
  </si>
  <si>
    <t>Montelittu - Lotto 10</t>
  </si>
  <si>
    <t>Montelittu - Lotto 11</t>
  </si>
  <si>
    <t>Montelittu - Lotto 12</t>
  </si>
  <si>
    <t>Montelittu - Lotto 13</t>
  </si>
  <si>
    <t>Tiriddò - Lotto 1</t>
  </si>
  <si>
    <t>Tiriddò - Lotto 2</t>
  </si>
  <si>
    <t>Tiriddò - Lotto 3</t>
  </si>
  <si>
    <t>Tiriddò - Lotto 4</t>
  </si>
  <si>
    <t>Tiriddò - Lotto 5</t>
  </si>
  <si>
    <t>Tiriddò - Lotto 6</t>
  </si>
  <si>
    <t>Tiriddò - Lotto 7</t>
  </si>
  <si>
    <t>Tiriddò - Lotto 8</t>
  </si>
  <si>
    <t>Tiriddò - Lotto 9</t>
  </si>
  <si>
    <t>Tiriddò - Lotto 10</t>
  </si>
  <si>
    <t>Tiriddò - Lotto 11</t>
  </si>
  <si>
    <t>Tiriddò - Lotto 12</t>
  </si>
  <si>
    <t>Tiriddò - Lotto 13</t>
  </si>
  <si>
    <t>Tiriddò - Lotto 14</t>
  </si>
  <si>
    <t>Zappallì - Lotto 1</t>
  </si>
  <si>
    <t>Zappallì - Lotto 2</t>
  </si>
  <si>
    <t>Zappallì - Lotto 3</t>
  </si>
  <si>
    <t>Zappallì - Lotto 4</t>
  </si>
  <si>
    <t>Zappallì - Lotto 5</t>
  </si>
  <si>
    <t>Zappallì - Lotto 6</t>
  </si>
  <si>
    <t>Zappallì - Lotto 7</t>
  </si>
  <si>
    <t>Zappallì - Lotto 8</t>
  </si>
  <si>
    <t>Zappallì - Lotto 9</t>
  </si>
  <si>
    <t>Zappallì - Lotto 10</t>
  </si>
  <si>
    <t>Zappallì - Lotto 11</t>
  </si>
  <si>
    <t>Trudda - Lotto 1</t>
  </si>
  <si>
    <t>Trudda - Lotto 2</t>
  </si>
  <si>
    <t>Trudda - Lotto 3</t>
  </si>
  <si>
    <t>Trudda - Lotto 4</t>
  </si>
  <si>
    <t>Trudda - Lotto 5</t>
  </si>
  <si>
    <t>Trudda - Lotto 6</t>
  </si>
  <si>
    <t>Trudda - Lotto 7</t>
  </si>
  <si>
    <t>Trudda - Lotto 8</t>
  </si>
  <si>
    <t>Santu Juanni - Lotto 1</t>
  </si>
  <si>
    <t>Santu Juanni - Lotto 2</t>
  </si>
  <si>
    <t>Santu Juanni - Lotto 3</t>
  </si>
  <si>
    <t>Santu Juanni - Lotto 4</t>
  </si>
  <si>
    <t>Petralonga - Lotto 1</t>
  </si>
  <si>
    <t>Petralonga - Lotto 2</t>
  </si>
  <si>
    <t>Petralonga - Lotto 3</t>
  </si>
  <si>
    <t>Petralonga - Lotto 4</t>
  </si>
  <si>
    <t>Petralonga - Lotto 5</t>
  </si>
  <si>
    <t>Ovilò - Lotto 1</t>
  </si>
  <si>
    <t>Ovilò - Lotto 2</t>
  </si>
  <si>
    <t>Ovilò - Lotto 3</t>
  </si>
  <si>
    <t>Ovilò - Lotto 4</t>
  </si>
  <si>
    <t>Ovilò - Lotto 5</t>
  </si>
  <si>
    <t>Ovilò - Lotto 6</t>
  </si>
  <si>
    <t>Ovilò - Lotto 7</t>
  </si>
  <si>
    <t>Ovilò - Lotto 8</t>
  </si>
  <si>
    <t>Ovilò La Silvaredda - Lotto 1</t>
  </si>
  <si>
    <t>Ovilò La Silvaredda - Lotto 2</t>
  </si>
  <si>
    <t>Ovilò La Silvaredda - Lotto 3</t>
  </si>
  <si>
    <t>Ovilò La Silvaredda - Lotto 4</t>
  </si>
  <si>
    <t>Ovilò La Silvaredda - Lotto 5</t>
  </si>
  <si>
    <t>Ovilò La Silvaredda - Lotto 6</t>
  </si>
  <si>
    <t>Ovilò La Silvaredda - Lotto 7</t>
  </si>
  <si>
    <t>Ovilò La Silvaredda - Lotto 8</t>
  </si>
  <si>
    <t>Ovilò La Silvaredda - Lotto 9</t>
  </si>
  <si>
    <t>Lu Graniatoggiu - Lotto 1</t>
  </si>
  <si>
    <t>Lu Graniatoggiu - Lotto 2</t>
  </si>
  <si>
    <t>Lu Graniatoggiu - Lotto 3</t>
  </si>
  <si>
    <t>Lu Graniatoggiu - Lotto 4</t>
  </si>
  <si>
    <t>Lu Graniatoggiu - Lotto 5</t>
  </si>
  <si>
    <t>Lu Graniatoggiu - Lotto 6</t>
  </si>
  <si>
    <t>Lu Graniatoggiu - Lotto 7</t>
  </si>
  <si>
    <t>Lu Graniatoggiu - Lotto 8</t>
  </si>
  <si>
    <t>Lu Graniatoggiu - Lotto 9</t>
  </si>
  <si>
    <t>Lu Graniatoggiu - Lotto 10</t>
  </si>
  <si>
    <t>Lu Graniatoggiu - Lotto 11</t>
  </si>
  <si>
    <t>Lu Graniatoggiu - Lotto 12</t>
  </si>
  <si>
    <t>Lu Graniatoggiu - Lotto 13</t>
  </si>
  <si>
    <t>Bua e Più - Loc. Ovilo - Caldosa</t>
  </si>
  <si>
    <t>Decandia Giovanni - Porto San Paolo</t>
  </si>
  <si>
    <t>PIP - Loiri</t>
  </si>
  <si>
    <t>Decandia Giovanni Battista -Porto San Paolo</t>
  </si>
  <si>
    <t>Piccolo Scoglio - Porto San Paolo</t>
  </si>
  <si>
    <t>F3</t>
  </si>
  <si>
    <t>Punta Don Diego - Loc. Punta Don Diego</t>
  </si>
  <si>
    <t>Costa Dorata e Più - Loc. Costa Dorata</t>
  </si>
  <si>
    <t>F2</t>
  </si>
  <si>
    <t>F1</t>
  </si>
  <si>
    <t>Besuch - Rainer - Loc. Aldia Bianca</t>
  </si>
  <si>
    <t>Pattitoni Pietruccia e Più (Bazzu) - Loc. Pinnetta Brusciata</t>
  </si>
  <si>
    <t>Chitoni e Più - Loc. Lu Canali</t>
  </si>
  <si>
    <t>Quidacciolu - Micheletti - Loc. Porto Taverna</t>
  </si>
  <si>
    <t>Lamari Francesco - Loc. Porto Taverna</t>
  </si>
  <si>
    <t>La Sarra - Lotto 1</t>
  </si>
  <si>
    <t>La Sarra - Lotto 2</t>
  </si>
  <si>
    <t>La Sarra - Lotto 3</t>
  </si>
  <si>
    <t>La Sarra - Lotto 4</t>
  </si>
  <si>
    <t>La Sarra - Lotto 5</t>
  </si>
  <si>
    <t>La Sarra - Lotto 6</t>
  </si>
  <si>
    <t>La Sarra - Lotto 7</t>
  </si>
  <si>
    <t>La Sarra - Lotto 8</t>
  </si>
  <si>
    <t>La Sarra - Lotto 9</t>
  </si>
  <si>
    <t>La Sarra - Lotto 10</t>
  </si>
  <si>
    <t>La Sarra - Lotto 11</t>
  </si>
  <si>
    <t>La Sarra - Lotto 12</t>
  </si>
  <si>
    <t>La Sarra - Lotto 13</t>
  </si>
  <si>
    <t>La Castagna - Lotto 1</t>
  </si>
  <si>
    <t>La Castagna - Lotto 2</t>
  </si>
  <si>
    <t>La Castagna - Lotto 3</t>
  </si>
  <si>
    <t>La Castagna - Lotto 4</t>
  </si>
  <si>
    <t>La Castagna - Lotto 5</t>
  </si>
  <si>
    <t>La Castagna - Lotto 6</t>
  </si>
  <si>
    <t>La Castagna - Lotto 7</t>
  </si>
  <si>
    <t>Burrasca - Lotto 1</t>
  </si>
  <si>
    <t>Burrasca - Lotto 2</t>
  </si>
  <si>
    <t>Burrasca - Lotto 3</t>
  </si>
  <si>
    <t>Burrasca - Lotto 4</t>
  </si>
  <si>
    <t>Burrasca - Lotto 5</t>
  </si>
  <si>
    <t>Burrasca - Lotto 6</t>
  </si>
  <si>
    <t>Burrasca - Lotto 7</t>
  </si>
  <si>
    <t>Burrasca - Lotto 8</t>
  </si>
  <si>
    <t>Azzanidò - Lotto 1</t>
  </si>
  <si>
    <t>Azzanì - Lotto 1</t>
  </si>
  <si>
    <t>Azzanì - Lotto 2</t>
  </si>
  <si>
    <t>Azzanì - Lotto 3</t>
  </si>
  <si>
    <t>Azzanì - Lotto 4</t>
  </si>
  <si>
    <t>Azzanì - Lotto 5</t>
  </si>
  <si>
    <t>Azzanì - Lotto 6</t>
  </si>
  <si>
    <t>Azzanì - Lotto 7</t>
  </si>
  <si>
    <t>Azzanì - Lotto 8</t>
  </si>
  <si>
    <t>Azzanì - Lotto 9</t>
  </si>
  <si>
    <t>Azzanì - Lotto 10</t>
  </si>
  <si>
    <t>Azzanì - Lotto 11</t>
  </si>
  <si>
    <t>Azzanì - Lotto 12</t>
  </si>
  <si>
    <t>Azzanì - Lotto 13</t>
  </si>
  <si>
    <t>Azzanì - Lotto 14</t>
  </si>
  <si>
    <t>Azzanì - Lotto 5b</t>
  </si>
  <si>
    <t>Azzanì - Lotto 5a</t>
  </si>
  <si>
    <t>Cb12</t>
  </si>
  <si>
    <t>Cb13</t>
  </si>
  <si>
    <t>Azzanì - Lotto 15</t>
  </si>
  <si>
    <t>Azzanì - Lotto 16</t>
  </si>
  <si>
    <t>Azzanì - Lotto 17</t>
  </si>
  <si>
    <t>Azzanì - Lotto 18</t>
  </si>
  <si>
    <t>Cb14</t>
  </si>
  <si>
    <t>Cb15</t>
  </si>
  <si>
    <t>Cb16</t>
  </si>
  <si>
    <t>16.09.1996</t>
  </si>
  <si>
    <t>28.03.2001</t>
  </si>
  <si>
    <t>04.05.1993</t>
  </si>
  <si>
    <t>04.02.2005</t>
  </si>
  <si>
    <t>25.05.2001</t>
  </si>
  <si>
    <t>06.02.1995</t>
  </si>
  <si>
    <t>03.02.1999</t>
  </si>
  <si>
    <t>21.02.2001</t>
  </si>
  <si>
    <t>08.08.1996</t>
  </si>
  <si>
    <t>10.02.1993</t>
  </si>
  <si>
    <t>21.12.1988</t>
  </si>
  <si>
    <t>19.06.1987</t>
  </si>
  <si>
    <t>05.11.1992</t>
  </si>
  <si>
    <t>01.06.1978</t>
  </si>
  <si>
    <t>23.05.2006</t>
  </si>
  <si>
    <t>30.12.2003</t>
  </si>
  <si>
    <t>21.12.2001</t>
  </si>
  <si>
    <t>23.04.2004</t>
  </si>
  <si>
    <t>S1.1 Loiri</t>
  </si>
  <si>
    <t>S1.2 PSP</t>
  </si>
  <si>
    <t>Comun e di Loiri Porto San Paolo Classe II</t>
  </si>
  <si>
    <t xml:space="preserve">ABITANTI INSEDIABILI + insediati </t>
  </si>
  <si>
    <t>mq</t>
  </si>
  <si>
    <t xml:space="preserve">S1 - Istruzione </t>
  </si>
  <si>
    <t>S2 - Attrezzature interesse comune</t>
  </si>
  <si>
    <t>S3 - Spazi pubblici attrezzati</t>
  </si>
  <si>
    <t>S4 - Parcheggi pubblici</t>
  </si>
  <si>
    <t>Totale</t>
  </si>
  <si>
    <t>S2.1 PSP</t>
  </si>
  <si>
    <t>S2.2 Loiri</t>
  </si>
  <si>
    <t>S2.3 PSP</t>
  </si>
  <si>
    <t>S2.4 PSP</t>
  </si>
  <si>
    <t>S2.5 PSP</t>
  </si>
  <si>
    <t>S2.6 PSP</t>
  </si>
  <si>
    <t>S2.8 PSP</t>
  </si>
  <si>
    <t>S2.9 Vaccileddi</t>
  </si>
  <si>
    <t>S2.10 Vaccileddi</t>
  </si>
  <si>
    <t>S2.11 Vaccileddi</t>
  </si>
  <si>
    <t>S2.12 Vaccileddi</t>
  </si>
  <si>
    <t>S2.13 Loiri</t>
  </si>
  <si>
    <t>S2 Azzanì</t>
  </si>
  <si>
    <t>S2 Azzanidò</t>
  </si>
  <si>
    <t>S2 Montelittu</t>
  </si>
  <si>
    <t>S2 Ovilò</t>
  </si>
  <si>
    <t>S2 La Sarra</t>
  </si>
  <si>
    <t>S2 Trudda</t>
  </si>
  <si>
    <t>S2 Zappallì</t>
  </si>
  <si>
    <t>S2 Enas</t>
  </si>
  <si>
    <t xml:space="preserve">Tot S2 </t>
  </si>
  <si>
    <t>S3.1 PSP</t>
  </si>
  <si>
    <t>S3.3 PORTO TAVERNA</t>
  </si>
  <si>
    <t xml:space="preserve">S3.4 LOIRI </t>
  </si>
  <si>
    <t>S3.5 VACCILEDDI</t>
  </si>
  <si>
    <t>S3.6 PSP</t>
  </si>
  <si>
    <t>S3.7 PSP</t>
  </si>
  <si>
    <t>S3.8 PSP</t>
  </si>
  <si>
    <t>S3.9 PSP</t>
  </si>
  <si>
    <t>S3.10 LOIRI</t>
  </si>
  <si>
    <t>S3.11 PSP</t>
  </si>
  <si>
    <t>S3.12 PSP</t>
  </si>
  <si>
    <t>S3.13 PSP</t>
  </si>
  <si>
    <t>S3.14 PSP</t>
  </si>
  <si>
    <t>S3.16 PSP</t>
  </si>
  <si>
    <t>S3.17 PSP</t>
  </si>
  <si>
    <t>S3.18 PSP</t>
  </si>
  <si>
    <t>S3.19 PSP</t>
  </si>
  <si>
    <t>S3.20 LOIRI</t>
  </si>
  <si>
    <t>S3.22 LOIRI</t>
  </si>
  <si>
    <t>S3.23 LOIRI</t>
  </si>
  <si>
    <t>S3.24 LOIRI</t>
  </si>
  <si>
    <t>S3.25 PSP</t>
  </si>
  <si>
    <t>S3.27 PSP</t>
  </si>
  <si>
    <t>S3.28 PSP</t>
  </si>
  <si>
    <t>S3.30 PSP</t>
  </si>
  <si>
    <t>S3.33 PSP</t>
  </si>
  <si>
    <t>S3_F.lli Giua</t>
  </si>
  <si>
    <t>S3 Azzanì</t>
  </si>
  <si>
    <t>S3 La Castagna</t>
  </si>
  <si>
    <t>S3 Lu Granatoggiu</t>
  </si>
  <si>
    <t>S3 Montelittu</t>
  </si>
  <si>
    <t>S3 Ovilò</t>
  </si>
  <si>
    <t>S3 Zappallì</t>
  </si>
  <si>
    <t>S3 Santu Juanni</t>
  </si>
  <si>
    <t>S3 Enas</t>
  </si>
  <si>
    <t>S4.1 PSP</t>
  </si>
  <si>
    <t>S4.3 LOIRI</t>
  </si>
  <si>
    <t>S4.4 LOIRI</t>
  </si>
  <si>
    <t>S4.5 LOIRI</t>
  </si>
  <si>
    <t>S4.6 VACCILEDDI</t>
  </si>
  <si>
    <t>S4.7 VACCILEDDI</t>
  </si>
  <si>
    <t>S4.8 VACCILEDDI</t>
  </si>
  <si>
    <t>S4.11 PSP</t>
  </si>
  <si>
    <t>S4.12 PSP</t>
  </si>
  <si>
    <t>S4.13 PSP</t>
  </si>
  <si>
    <t>S4.14 PSP</t>
  </si>
  <si>
    <t>S4.15 PSP</t>
  </si>
  <si>
    <t>S4.9 PSP</t>
  </si>
  <si>
    <t>S4 Azzanì</t>
  </si>
  <si>
    <t>S4 Montelittu</t>
  </si>
  <si>
    <t>S4 zappallì</t>
  </si>
  <si>
    <t>S4 Enas</t>
  </si>
  <si>
    <t>S4 Ovilò</t>
  </si>
  <si>
    <t>S4 Tiriddò</t>
  </si>
  <si>
    <t xml:space="preserve">Tot S4 </t>
  </si>
  <si>
    <t>Enas - Lotto10</t>
  </si>
  <si>
    <t>Enas - Lotto11</t>
  </si>
  <si>
    <t>Enas - Lotto12</t>
  </si>
  <si>
    <t>Montelittu - Lotto 14</t>
  </si>
  <si>
    <t>Montelittu - Lotto 15</t>
  </si>
  <si>
    <t>Montelittu - Lotto 16</t>
  </si>
  <si>
    <t>Montelittu - Lotto 17</t>
  </si>
  <si>
    <t>Montelittu - Lotto 18</t>
  </si>
  <si>
    <t>Tiriddò - Lotto 15</t>
  </si>
  <si>
    <t>Tiriddò - Lotto 16</t>
  </si>
  <si>
    <t>Tiriddò - Lotto 17</t>
  </si>
  <si>
    <t>Tiriddò - Lotto 18</t>
  </si>
  <si>
    <t>Zappallì - Lotto 12</t>
  </si>
  <si>
    <t>Zappallì - Lotto 13</t>
  </si>
  <si>
    <t>Zappallì - Lotto 14</t>
  </si>
  <si>
    <t>Trudda - Lotto 9</t>
  </si>
  <si>
    <t>Trudda - Lotto 10</t>
  </si>
  <si>
    <t>Trudda - Lotto 11</t>
  </si>
  <si>
    <t>Trudda - Lotto 12</t>
  </si>
  <si>
    <t>Trudda - Lotto 13</t>
  </si>
  <si>
    <t>Santu Juanni - Lotto 5</t>
  </si>
  <si>
    <t>Santu Juanni - Lotto 6</t>
  </si>
  <si>
    <t>Santu Juanni - Lotto 7</t>
  </si>
  <si>
    <t>Petralonga - Lotto 6</t>
  </si>
  <si>
    <t>Ovilò - Lotto 9</t>
  </si>
  <si>
    <t>Ovilò - Lotto 10</t>
  </si>
  <si>
    <t>Ovilò - Lotto 11</t>
  </si>
  <si>
    <t>Ovilò La Silvaredda - Lotto 10</t>
  </si>
  <si>
    <t>Ovilò La Silvaredda - Lotto 11</t>
  </si>
  <si>
    <t>Lu Graniatoggiu - Lotto 14</t>
  </si>
  <si>
    <t>Lu Graniatoggiu - Lotto 15</t>
  </si>
  <si>
    <t>La Sarra - Lotto 14</t>
  </si>
  <si>
    <t>La Sarra - Lotto 15</t>
  </si>
  <si>
    <t>La Sarra - Lotto 16</t>
  </si>
  <si>
    <t>La Sarra - Lotto 17</t>
  </si>
  <si>
    <t>La Castagna - Lotto 8</t>
  </si>
  <si>
    <t>La Castagna - Lotto 9</t>
  </si>
  <si>
    <t>La Castagna - Lotto 10</t>
  </si>
  <si>
    <t>La Castagna - Lotto 11</t>
  </si>
  <si>
    <t>La Castagna - Lotto 12</t>
  </si>
  <si>
    <t>Cuccai - Lotto 1</t>
  </si>
  <si>
    <t>Cuccai - Lotto 2</t>
  </si>
  <si>
    <t>Azzanidò - Lotto 2</t>
  </si>
  <si>
    <t>Azzanidò - Lotto 3</t>
  </si>
  <si>
    <t>Azzanidò - Lotto 4</t>
  </si>
  <si>
    <t>Azzanì - Lotto 19</t>
  </si>
  <si>
    <t>Azzanì - Lotto 20</t>
  </si>
  <si>
    <t>Azzanì - Lotto 21</t>
  </si>
  <si>
    <t>Azzanì - Lotto 22</t>
  </si>
  <si>
    <t>Santa Giusta - Buleddu - Lotto 1</t>
  </si>
  <si>
    <t>Santa Giusta - Buleddu - Lotto 2</t>
  </si>
  <si>
    <t>Santa Giusta - Buleddu - Lotto 3</t>
  </si>
  <si>
    <t>Santa Giusta - Buleddu - Lotto 4</t>
  </si>
  <si>
    <t>Santa Giusta - Buleddu - Lotto 5</t>
  </si>
  <si>
    <t>Santa Giusta - Muzzeddu - Lotto 1</t>
  </si>
  <si>
    <t>Santa Giusta - Muzzeddu - Lotto 2</t>
  </si>
  <si>
    <t>Santa Giusta - Muzzeddu - Lotto 3</t>
  </si>
  <si>
    <t>Santa Giusta - Muzzeddu - Lotto 4</t>
  </si>
  <si>
    <t>Santa Giusta - Muzzeddu - Lotto 5</t>
  </si>
  <si>
    <t>Santa Giusta - Muzzeddu - Lotto 6</t>
  </si>
  <si>
    <t>Santa Giusta - Muzzeddu - Lotto 7</t>
  </si>
  <si>
    <t>Santa Giusta - Muzzeddu - Lotto 8</t>
  </si>
  <si>
    <t>Santa Giusta - Muzzeddu - Lotto 9</t>
  </si>
  <si>
    <t>Santa Giusta - Muzzeddu - Lotto 10</t>
  </si>
  <si>
    <t>Santa Giusta - Muzzeddu - Lotto 11</t>
  </si>
  <si>
    <t>Santa Giusta - Muzzeddu - Lotto 12</t>
  </si>
  <si>
    <t>F4.4</t>
  </si>
  <si>
    <t>Porto Taverna</t>
  </si>
  <si>
    <t>F4.3</t>
  </si>
  <si>
    <t>F4.2</t>
  </si>
  <si>
    <t>F4.7</t>
  </si>
  <si>
    <t>F4.1</t>
  </si>
  <si>
    <t>F4.9</t>
  </si>
  <si>
    <t>Porto San Paolo</t>
  </si>
  <si>
    <t>F4.14</t>
  </si>
  <si>
    <t>Lu Canali</t>
  </si>
  <si>
    <t>F4.11</t>
  </si>
  <si>
    <t>Costa Dorata</t>
  </si>
  <si>
    <t>F4.18</t>
  </si>
  <si>
    <t>F4.17</t>
  </si>
  <si>
    <t>Enas</t>
  </si>
  <si>
    <t>A.1</t>
  </si>
  <si>
    <t>A.2</t>
  </si>
  <si>
    <t>A.3</t>
  </si>
  <si>
    <t>A.4</t>
  </si>
  <si>
    <t>A.5</t>
  </si>
  <si>
    <t>A.6</t>
  </si>
  <si>
    <t>A.7</t>
  </si>
  <si>
    <t>A.8</t>
  </si>
  <si>
    <t>A.9</t>
  </si>
  <si>
    <t>A.10</t>
  </si>
  <si>
    <t>A.11</t>
  </si>
  <si>
    <t>A.12</t>
  </si>
  <si>
    <t>A.13</t>
  </si>
  <si>
    <t>A.14</t>
  </si>
  <si>
    <t>A.15</t>
  </si>
  <si>
    <t>A.16</t>
  </si>
  <si>
    <t>A.17</t>
  </si>
  <si>
    <t>A.18</t>
  </si>
  <si>
    <t>A.19</t>
  </si>
  <si>
    <t>A.20</t>
  </si>
  <si>
    <t>A.21</t>
  </si>
  <si>
    <t>A.22</t>
  </si>
  <si>
    <t>A.23</t>
  </si>
  <si>
    <t>Fratelli Giua</t>
  </si>
  <si>
    <t>Zappallì</t>
  </si>
  <si>
    <t>Monte Littu</t>
  </si>
  <si>
    <t>Loiri</t>
  </si>
  <si>
    <t>Trudda</t>
  </si>
  <si>
    <t>Azzanì</t>
  </si>
  <si>
    <t>Azzanidò</t>
  </si>
  <si>
    <t>Cuccai</t>
  </si>
  <si>
    <t>Santu Juanni</t>
  </si>
  <si>
    <t>Lu Stazzareddu</t>
  </si>
  <si>
    <t>Tiriddò</t>
  </si>
  <si>
    <t>Vaccileddi</t>
  </si>
  <si>
    <t>C.3.30</t>
  </si>
  <si>
    <t>C.3.31</t>
  </si>
  <si>
    <t>C.3.17</t>
  </si>
  <si>
    <t>C.3.18</t>
  </si>
  <si>
    <t>C.3.19</t>
  </si>
  <si>
    <t>C.3.20</t>
  </si>
  <si>
    <t>C.3.21</t>
  </si>
  <si>
    <t>C.3.22</t>
  </si>
  <si>
    <t>C.3.23</t>
  </si>
  <si>
    <t>C.3.24</t>
  </si>
  <si>
    <t>Ovilò</t>
  </si>
  <si>
    <t>C.3.25</t>
  </si>
  <si>
    <t>C.3.26</t>
  </si>
  <si>
    <t>C.3.27</t>
  </si>
  <si>
    <t>C.3.28</t>
  </si>
  <si>
    <t>C.3.32</t>
  </si>
  <si>
    <t>C.3.1</t>
  </si>
  <si>
    <t>C.3.10</t>
  </si>
  <si>
    <t>C.3.11</t>
  </si>
  <si>
    <t>C.3.12</t>
  </si>
  <si>
    <t>C.3.13</t>
  </si>
  <si>
    <t>C.3.14</t>
  </si>
  <si>
    <t>C.3.3</t>
  </si>
  <si>
    <t>C.3.4</t>
  </si>
  <si>
    <t>C.3.5</t>
  </si>
  <si>
    <t>C.3.6</t>
  </si>
  <si>
    <t>C.3.7</t>
  </si>
  <si>
    <t>C.3.8</t>
  </si>
  <si>
    <t>C.3.9</t>
  </si>
  <si>
    <t>C.3.40</t>
  </si>
  <si>
    <t>C.3.41</t>
  </si>
  <si>
    <t>C.3.42</t>
  </si>
  <si>
    <t>C.3.43</t>
  </si>
  <si>
    <t>D2.2</t>
  </si>
  <si>
    <t>D2.7</t>
  </si>
  <si>
    <t>D2.5</t>
  </si>
  <si>
    <t>D2.3</t>
  </si>
  <si>
    <t>Loc. La Lana</t>
  </si>
  <si>
    <t>D5.1</t>
  </si>
  <si>
    <t>Montilisciu - Cava</t>
  </si>
  <si>
    <t>D5.2</t>
  </si>
  <si>
    <t>La Lana - Cava</t>
  </si>
  <si>
    <t>D5.3</t>
  </si>
  <si>
    <t>Montelittu - Cava</t>
  </si>
  <si>
    <t>D5.4</t>
  </si>
  <si>
    <t>D5.5</t>
  </si>
  <si>
    <t>Muzzeddu - Cava</t>
  </si>
  <si>
    <t>Loc. Ovilò</t>
  </si>
  <si>
    <t>Loc. Porto Taverna</t>
  </si>
  <si>
    <t>G1.3</t>
  </si>
  <si>
    <t>G1.4</t>
  </si>
  <si>
    <t>G1.5</t>
  </si>
  <si>
    <t>Loc. Costa Dorata</t>
  </si>
  <si>
    <t>G1.6</t>
  </si>
  <si>
    <t>Loiri - Cimitero</t>
  </si>
  <si>
    <t xml:space="preserve">Loiri </t>
  </si>
  <si>
    <t>G1.7</t>
  </si>
  <si>
    <t>Loc. Santa Giusta - Cimitero</t>
  </si>
  <si>
    <t>G1.8</t>
  </si>
  <si>
    <t>Porto San Paolo - Cimitero</t>
  </si>
  <si>
    <t>G1.10</t>
  </si>
  <si>
    <t>Loc. Cala Finanza</t>
  </si>
  <si>
    <t>Loc. Vaccileddi - Monte Ruiu</t>
  </si>
  <si>
    <t>G1.12</t>
  </si>
  <si>
    <t>G1.13</t>
  </si>
  <si>
    <t>G2.1</t>
  </si>
  <si>
    <t>G2.2</t>
  </si>
  <si>
    <t>G2.3</t>
  </si>
  <si>
    <t>Loc. Zappallì</t>
  </si>
  <si>
    <t>G2.6</t>
  </si>
  <si>
    <t>G2.4</t>
  </si>
  <si>
    <t>G2.7</t>
  </si>
  <si>
    <t>G4.1</t>
  </si>
  <si>
    <t>Loc. Montilisciu</t>
  </si>
  <si>
    <t>G4.2</t>
  </si>
  <si>
    <t>Loc. Enas</t>
  </si>
  <si>
    <t>G4.3</t>
  </si>
  <si>
    <t>G4.4</t>
  </si>
  <si>
    <t>Loc. Azzanì</t>
  </si>
  <si>
    <t>G4.5</t>
  </si>
  <si>
    <t>G4.6</t>
  </si>
  <si>
    <t>Loc. Azzanì - La Fossa</t>
  </si>
  <si>
    <t>G4.7</t>
  </si>
  <si>
    <t xml:space="preserve">Loc. Azzanì </t>
  </si>
  <si>
    <t>G4.8</t>
  </si>
  <si>
    <t>Loc. Montelittu - Vaddi Altana</t>
  </si>
  <si>
    <t>G4.9</t>
  </si>
  <si>
    <t>Loc. Trudda - Depuratore</t>
  </si>
  <si>
    <t>G4.10</t>
  </si>
  <si>
    <t>G4.11</t>
  </si>
  <si>
    <t>G4.12</t>
  </si>
  <si>
    <t>Loc. Santa Giusta - Depuratore</t>
  </si>
  <si>
    <t>G4.13</t>
  </si>
  <si>
    <t>Loc. Enas - F.lli Giua</t>
  </si>
  <si>
    <t>G4.14</t>
  </si>
  <si>
    <t>Loc. Lu Graniatoggiu</t>
  </si>
  <si>
    <t>G4.15</t>
  </si>
  <si>
    <t>G4.24</t>
  </si>
  <si>
    <t>Loc. Burrasca</t>
  </si>
  <si>
    <t>G4.25</t>
  </si>
  <si>
    <t>G4.26</t>
  </si>
  <si>
    <t>G4.27</t>
  </si>
  <si>
    <t>Loc. Porto Taverna - Vascone</t>
  </si>
  <si>
    <t>G4.28</t>
  </si>
  <si>
    <t xml:space="preserve">Loc. Vaccileddi </t>
  </si>
  <si>
    <t>G4.29</t>
  </si>
  <si>
    <t>G4.30</t>
  </si>
  <si>
    <t>G4.31</t>
  </si>
  <si>
    <t>Loc. Vaccileddi - Depuratore</t>
  </si>
  <si>
    <t>G4.32</t>
  </si>
  <si>
    <t>Loc. Monte Petrosu</t>
  </si>
  <si>
    <t>G4.33</t>
  </si>
  <si>
    <t>G4.34</t>
  </si>
  <si>
    <t>G4.35</t>
  </si>
  <si>
    <t>G4.36</t>
  </si>
  <si>
    <t>Loiri - Depuratore</t>
  </si>
  <si>
    <t>G4.37</t>
  </si>
  <si>
    <t>Loiri - Deposito Acqua</t>
  </si>
  <si>
    <t>G4.38</t>
  </si>
  <si>
    <t xml:space="preserve"> </t>
  </si>
  <si>
    <t>Loc. Lu Stangu - Stazione servizio Carburanti</t>
  </si>
  <si>
    <t>Loc. La Castagna - Stazione servizio Carburanti</t>
  </si>
  <si>
    <t>C2.1</t>
  </si>
  <si>
    <t>C2.2</t>
  </si>
  <si>
    <t>C2.3</t>
  </si>
  <si>
    <t>H3</t>
  </si>
  <si>
    <t>H2</t>
  </si>
  <si>
    <t>H1</t>
  </si>
  <si>
    <t xml:space="preserve">Territorio comunale </t>
  </si>
  <si>
    <t>E5c</t>
  </si>
  <si>
    <t>E2b</t>
  </si>
  <si>
    <t>Burrasca - Stazzareddu - Lotto 6</t>
  </si>
  <si>
    <t xml:space="preserve">Burrasca - Stazzareddu - Lotto 5 </t>
  </si>
  <si>
    <t>Burrasca - Stazzareddu - Lotto 7</t>
  </si>
  <si>
    <t>Burrasca -  Lotto 9</t>
  </si>
  <si>
    <t>Burrasca -  Lotto 10</t>
  </si>
  <si>
    <t>Burrasca -  Lotto 11</t>
  </si>
  <si>
    <t>Burrasca -  Lotto 12</t>
  </si>
  <si>
    <t>Lu Stangu</t>
  </si>
  <si>
    <t>F.lli Giua - Lotto 1</t>
  </si>
  <si>
    <t>F.lli Giua - Lotto 2</t>
  </si>
  <si>
    <t>F.lli Giua - Lotto 3</t>
  </si>
  <si>
    <t>F.lli Giua - Lotto 4</t>
  </si>
  <si>
    <t>F.lli Giua - Lotto 5</t>
  </si>
  <si>
    <t>F.lli Giua - Lotto 6</t>
  </si>
  <si>
    <t>F.lli Giua - Lotto 7</t>
  </si>
  <si>
    <t>F.lli Giua - Lotto 8</t>
  </si>
  <si>
    <t>F.lli Giua - Lotto 9</t>
  </si>
  <si>
    <t>F.lli Giua - Lotto 10</t>
  </si>
  <si>
    <t>F.lli Giua - Lotto 11</t>
  </si>
  <si>
    <t>F.lli Giua - Lotto 12</t>
  </si>
  <si>
    <t>F.lli Giua - Lotto 13</t>
  </si>
  <si>
    <t>F.lli Giua - Lotto 14</t>
  </si>
  <si>
    <t>F.lli Giua - Lotto 15</t>
  </si>
  <si>
    <t>F.lli Giua - Lotto 16</t>
  </si>
  <si>
    <t>F.lli Giua - Lotto 17</t>
  </si>
  <si>
    <t>Cb</t>
  </si>
  <si>
    <t>F3.1</t>
  </si>
  <si>
    <t>Porto Taverna - Campeggio - esistente</t>
  </si>
  <si>
    <t>Sub - totale Centri minori</t>
  </si>
  <si>
    <t>Sub - totale località Loiri - Porto San Paolo</t>
  </si>
  <si>
    <t>Sub - totale Centri Minori</t>
  </si>
  <si>
    <t>Dimostrazione Standard per Centri Minori: di zona A e Cb</t>
  </si>
  <si>
    <t>Come si evince dalla tabella di cui sopra la quantità minima degli spazi pubblici è ampiamente garantita, ad esclusione, come gia detto in precedenza, per la dotazione standard S1 - istruzione, tale fabbisogno (comprensivo degli abitanti Insediabili e insediati delle Zone B), viene comunque soddisfatto, poichè vengono utilizzate le aree ricadenti nei due centri maggiori Loiri e Porto San Paolo e anche nel vicino Comune di Olbia.</t>
  </si>
  <si>
    <t>F2.1</t>
  </si>
  <si>
    <t>F2.2</t>
  </si>
  <si>
    <t>F2.3</t>
  </si>
  <si>
    <t>F2.4</t>
  </si>
  <si>
    <t>F2.5</t>
  </si>
  <si>
    <t>Aldia Bianca</t>
  </si>
  <si>
    <t>N.O. del 22/10/1993 prot n° 11520 pos. n° 1345/93</t>
  </si>
  <si>
    <t>C.E. 1356/46 del 14/09/1999</t>
  </si>
  <si>
    <t xml:space="preserve">15/01/2001 Det. n° 1 pos. n° 2108/85 </t>
  </si>
  <si>
    <t>C.E. 869/37 del 31/03/1993 e C.E. 943/29 del 31/03/1993</t>
  </si>
  <si>
    <t>18/05/1993 e 08/04/1999</t>
  </si>
  <si>
    <t>26/04/2001 (Parziale)</t>
  </si>
  <si>
    <t>22/03/1990 prot. n° 3373 pos- n° 690/90</t>
  </si>
  <si>
    <t>C.E. 994/1 del 19/01/1994</t>
  </si>
  <si>
    <t>C.E. 1532/79 del 07/11/2001</t>
  </si>
  <si>
    <t>23/02/1993 prot. n° 697 pos- n° 475/92 e del 11/01/2000 prot. n° 304 pos. n° 475/92</t>
  </si>
  <si>
    <t>23/05/1997 prot. n° 6515 pos. n° 1794/91</t>
  </si>
  <si>
    <t>C.E. 1206/30 del 07/05/1997 e 1444/71 del 06/11/2000</t>
  </si>
  <si>
    <t>C.E. 1084/41 del 11/09/1995</t>
  </si>
  <si>
    <t>29/11/1994 prot. n° 11896 pos- n° 1748/94</t>
  </si>
  <si>
    <t>C.E. 1319/09 del 25/02/1999</t>
  </si>
  <si>
    <t>18/09/1998 prot. n° 10991 pos- n° 692/98</t>
  </si>
  <si>
    <t>C.E. 1119/14 del 28/02/1996</t>
  </si>
  <si>
    <t>28/11/1991 prot. n° 13475 pos- n° 1792/91</t>
  </si>
  <si>
    <t>C.E. 1130/25 del 08/05/1996 e C.E. 1211/35 del 11/06/1997</t>
  </si>
  <si>
    <t>30/06/1992 prot. n° 9108 pos- n° 1158/92</t>
  </si>
  <si>
    <t>C.E. 1111/6 del 01/06/1995 e C.E. 1488/36 del 10/05/2001 e 43bis/2004 del 05/08/2004</t>
  </si>
  <si>
    <t>11/08/1992 e 19/03/2004</t>
  </si>
  <si>
    <t>Det. N° 2052/02 del 21/11/2002 pos. n° 2660/90</t>
  </si>
  <si>
    <t>Det. N° 263/U del 11/03/1988 pos. n° 3276</t>
  </si>
  <si>
    <t>F1-F2</t>
  </si>
  <si>
    <t>C2-F1</t>
  </si>
  <si>
    <t>F2-E</t>
  </si>
  <si>
    <t>F2-H-E</t>
  </si>
  <si>
    <t>F1-F2-F3-E</t>
  </si>
  <si>
    <t>F2-H</t>
  </si>
  <si>
    <t>C2-E</t>
  </si>
  <si>
    <t>G1-F1-H</t>
  </si>
  <si>
    <t>C2-D</t>
  </si>
  <si>
    <t>F3-H</t>
  </si>
  <si>
    <t>S</t>
  </si>
  <si>
    <t>G3-H</t>
  </si>
  <si>
    <t>G2-F1-H</t>
  </si>
  <si>
    <t>G2</t>
  </si>
  <si>
    <t>S-E</t>
  </si>
  <si>
    <t>F1-F2-H</t>
  </si>
  <si>
    <t>B2-S</t>
  </si>
  <si>
    <t>C.E. 245 del 22/06/1983</t>
  </si>
  <si>
    <t>N.O. del 19/03/1977 prot. n° 233 pos. n° 2401</t>
  </si>
  <si>
    <t>C.E. 289 del 30/12/1977</t>
  </si>
  <si>
    <t>N.O. del 25/07/1975 prot. n° 2709  pos. n° 13307</t>
  </si>
  <si>
    <t>C.E. 10/10/1991 Prat-Ed. 4690</t>
  </si>
  <si>
    <t>N.O. del 03/12/1992 pron. N° 16697 pos. n° 2603/91</t>
  </si>
  <si>
    <t>Det. N° 1745/02 del 15/10/2002 pos. n° 2225/00</t>
  </si>
  <si>
    <t>C.E. 62/2006 del 19/06/2006</t>
  </si>
  <si>
    <t>C.E. 04/2005 del 01/02/2005</t>
  </si>
  <si>
    <t>Det. N° 1652/02 del 01/15/10/2002 pos. n° 980/00</t>
  </si>
  <si>
    <t>S-B1</t>
  </si>
  <si>
    <t>BE2-E</t>
  </si>
  <si>
    <t>C1-C2-E</t>
  </si>
  <si>
    <t>C3-S-E</t>
  </si>
  <si>
    <t>C2-Viab.</t>
  </si>
  <si>
    <t>F2-F1</t>
  </si>
  <si>
    <t>C1-C4-F1-G1</t>
  </si>
  <si>
    <t>C2-S- Viab.</t>
  </si>
  <si>
    <t>C1-Viab.</t>
  </si>
  <si>
    <t>C1-B1-Viab.</t>
  </si>
  <si>
    <t>C2-B2-E</t>
  </si>
  <si>
    <t>C3-C2</t>
  </si>
  <si>
    <t>B3-S-E</t>
  </si>
  <si>
    <t>B1-C1-E</t>
  </si>
  <si>
    <t>S3 Trudda</t>
  </si>
  <si>
    <t>B.2.83</t>
  </si>
  <si>
    <t>A.24</t>
  </si>
  <si>
    <t>F2.7</t>
  </si>
  <si>
    <t>Taglio volumi</t>
  </si>
  <si>
    <t>C1 e C2</t>
  </si>
  <si>
    <t>TOTALE</t>
  </si>
  <si>
    <t>Abitanti totali</t>
  </si>
  <si>
    <t>ABITANTI (ab) insediati</t>
  </si>
  <si>
    <t>Località Interne</t>
  </si>
  <si>
    <t>Località Costiere</t>
  </si>
  <si>
    <t>Tutto il territorio</t>
  </si>
  <si>
    <t>Zona Urbanistica</t>
  </si>
  <si>
    <t>Abitanti Insediabili</t>
  </si>
  <si>
    <t>Abitanti possibili</t>
  </si>
  <si>
    <t>C.1.9a</t>
  </si>
  <si>
    <t>Tutto il territorio - Alberghiero</t>
  </si>
  <si>
    <t>Tutto il territorio - Residenziale</t>
  </si>
  <si>
    <t>Come si evince dalla tabella di cui sopra la quantità minima degli spazi pubblici è ampiamente garantita, ad esclusione per la dotazione standard S1 - istruzione, tale fabbisogno viene comunque soddisfatto, poichè vengono utilizzate oltre le aree ricadenti nei due centri maggiori Loiri e Porto San Paolo, quelle del vicino Comune di Olbia. Inoltre, osservando la tabella "stato vigente e di progetto",  si può notare che gli abitanti insediabili  all'interno delle Zone A, pari a 155, sono quelli esclusivamente ricadenti nei Centri Minori. Il surplus di aree standard in queste Zone (centri minori), verrà utilizzato per garantire la dotazione minima di standard per gli abitanti insediabili e insediati previsti nei comparti Cb, pari a 2376 abitanti, cosi come da tabella seguente.</t>
  </si>
  <si>
    <t>F1.3 - F1.4</t>
  </si>
  <si>
    <t>Località</t>
  </si>
  <si>
    <t>Percentuale occupazione
(%)</t>
  </si>
  <si>
    <t>Volumi esistenti
(mc)</t>
  </si>
  <si>
    <t>Volumi occupati
(mc)</t>
  </si>
  <si>
    <t>Volumi non occupati
(mc)</t>
  </si>
  <si>
    <t>Abitanti Residenti</t>
  </si>
  <si>
    <t>Volumi progetto
(mc)</t>
  </si>
  <si>
    <t>Volumi totali
(mc)</t>
  </si>
  <si>
    <t>Percentuale realizzazione volumi
(%)</t>
  </si>
  <si>
    <t>Volumi totali con riduzione
(mc)</t>
  </si>
  <si>
    <t>Abitanti di progetto con riduzione
(mc)</t>
  </si>
  <si>
    <t>Volumi di progetto con riduzione
(mc)</t>
  </si>
  <si>
    <t>Abitanti totali con riduzione</t>
  </si>
  <si>
    <t>Dotazione ad abitante di progetto
(mc)</t>
  </si>
  <si>
    <t>Dotazione ad abitante reale
(mc)</t>
  </si>
  <si>
    <t>****** Volume residuo disponibile da rilocalizzare con successiva variante.</t>
  </si>
  <si>
    <t>D2.8</t>
  </si>
  <si>
    <t>G1.11</t>
  </si>
  <si>
    <t>F.lli Giua - Lotto 4.1</t>
  </si>
  <si>
    <t>C3.26</t>
  </si>
  <si>
    <t>G2.5</t>
  </si>
  <si>
    <t>Azzanì - Lotto 9 bis</t>
  </si>
  <si>
    <t>G4.16</t>
  </si>
  <si>
    <t>Loc. Lu Canali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</si>
</sst>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  <numFmt numFmtId="167" formatCode="#,##0_ ;\-#,##0\ "/>
    <numFmt numFmtId="168" formatCode="0.0"/>
    <numFmt numFmtId="169" formatCode="#,##0.00_ ;\-#,##0.00\ "/>
    <numFmt numFmtId="170" formatCode="_-* #,##0.0_-;\-* #,##0.0_-;_-* &quot;-&quot;?_-;_-@_-"/>
    <numFmt numFmtId="171" formatCode="#,##0.000\ &quot;€&quot;"/>
  </numFmts>
  <fonts count="11" x14ac:knownFonts="1"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b/>
      <sz val="14"/>
      <name val="Arial"/>
      <family val="2"/>
    </font>
    <font>
      <sz val="14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362">
    <xf numFmtId="0" fontId="0" fillId="0" borderId="0" xfId="0"/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165" fontId="0" fillId="0" borderId="0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65" fontId="0" fillId="0" borderId="1" xfId="1" applyNumberFormat="1" applyFont="1" applyFill="1" applyBorder="1" applyAlignment="1">
      <alignment horizontal="center" vertical="center"/>
    </xf>
    <xf numFmtId="165" fontId="5" fillId="0" borderId="1" xfId="1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1" fontId="0" fillId="0" borderId="1" xfId="0" applyNumberFormat="1" applyBorder="1"/>
    <xf numFmtId="164" fontId="0" fillId="0" borderId="1" xfId="1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2" borderId="1" xfId="0" applyNumberFormat="1" applyFill="1" applyBorder="1"/>
    <xf numFmtId="164" fontId="7" fillId="2" borderId="1" xfId="1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2" borderId="16" xfId="1" applyNumberFormat="1" applyFont="1" applyFill="1" applyBorder="1" applyAlignment="1">
      <alignment horizontal="center" vertical="center"/>
    </xf>
    <xf numFmtId="165" fontId="2" fillId="2" borderId="17" xfId="1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165" fontId="2" fillId="2" borderId="20" xfId="1" applyNumberFormat="1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165" fontId="2" fillId="3" borderId="11" xfId="1" applyNumberFormat="1" applyFont="1" applyFill="1" applyBorder="1" applyAlignment="1">
      <alignment horizontal="center" vertical="center"/>
    </xf>
    <xf numFmtId="165" fontId="2" fillId="4" borderId="11" xfId="1" applyNumberFormat="1" applyFont="1" applyFill="1" applyBorder="1" applyAlignment="1">
      <alignment horizontal="center" vertical="center"/>
    </xf>
    <xf numFmtId="165" fontId="2" fillId="3" borderId="11" xfId="1" applyNumberFormat="1" applyFont="1" applyFill="1" applyBorder="1" applyAlignment="1">
      <alignment horizontal="center" vertical="center" wrapText="1"/>
    </xf>
    <xf numFmtId="165" fontId="2" fillId="4" borderId="11" xfId="1" applyNumberFormat="1" applyFont="1" applyFill="1" applyBorder="1" applyAlignment="1">
      <alignment horizontal="center" vertical="center" wrapText="1"/>
    </xf>
    <xf numFmtId="165" fontId="0" fillId="3" borderId="1" xfId="1" applyNumberFormat="1" applyFont="1" applyFill="1" applyBorder="1" applyAlignment="1">
      <alignment horizontal="center" vertical="center"/>
    </xf>
    <xf numFmtId="164" fontId="0" fillId="0" borderId="0" xfId="1" applyFont="1" applyFill="1" applyBorder="1" applyAlignment="1">
      <alignment horizontal="center" vertical="center"/>
    </xf>
    <xf numFmtId="164" fontId="2" fillId="2" borderId="9" xfId="1" applyFont="1" applyFill="1" applyBorder="1" applyAlignment="1">
      <alignment horizontal="center" vertical="center"/>
    </xf>
    <xf numFmtId="164" fontId="2" fillId="3" borderId="11" xfId="1" applyFont="1" applyFill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/>
    </xf>
    <xf numFmtId="164" fontId="5" fillId="0" borderId="1" xfId="1" applyFont="1" applyFill="1" applyBorder="1" applyAlignment="1">
      <alignment horizontal="center" vertical="center"/>
    </xf>
    <xf numFmtId="164" fontId="0" fillId="0" borderId="1" xfId="1" applyFont="1" applyFill="1" applyBorder="1" applyAlignment="1">
      <alignment horizontal="center" vertical="center"/>
    </xf>
    <xf numFmtId="164" fontId="2" fillId="2" borderId="1" xfId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5" fillId="0" borderId="1" xfId="0" applyNumberFormat="1" applyFont="1" applyBorder="1"/>
    <xf numFmtId="1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left" vertical="center"/>
    </xf>
    <xf numFmtId="1" fontId="0" fillId="0" borderId="1" xfId="0" applyNumberFormat="1" applyBorder="1" applyAlignment="1">
      <alignment horizontal="left" vertical="center" wrapText="1"/>
    </xf>
    <xf numFmtId="1" fontId="0" fillId="2" borderId="1" xfId="0" applyNumberFormat="1" applyFill="1" applyBorder="1" applyAlignment="1">
      <alignment horizontal="left" vertical="center"/>
    </xf>
    <xf numFmtId="1" fontId="5" fillId="0" borderId="1" xfId="0" applyNumberFormat="1" applyFont="1" applyBorder="1" applyAlignment="1">
      <alignment horizontal="left" vertical="center"/>
    </xf>
    <xf numFmtId="167" fontId="2" fillId="4" borderId="11" xfId="1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40" xfId="0" applyFont="1" applyBorder="1" applyAlignment="1">
      <alignment horizontal="right" vertical="center"/>
    </xf>
    <xf numFmtId="0" fontId="0" fillId="0" borderId="40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/>
    </xf>
    <xf numFmtId="1" fontId="0" fillId="0" borderId="11" xfId="0" applyNumberFormat="1" applyBorder="1" applyAlignment="1">
      <alignment horizontal="left" vertical="center"/>
    </xf>
    <xf numFmtId="165" fontId="0" fillId="3" borderId="11" xfId="1" applyNumberFormat="1" applyFont="1" applyFill="1" applyBorder="1" applyAlignment="1">
      <alignment horizontal="center" vertical="center"/>
    </xf>
    <xf numFmtId="0" fontId="0" fillId="0" borderId="46" xfId="0" applyBorder="1"/>
    <xf numFmtId="0" fontId="1" fillId="6" borderId="1" xfId="0" applyFont="1" applyFill="1" applyBorder="1" applyAlignment="1">
      <alignment horizontal="center" vertical="center" wrapText="1"/>
    </xf>
    <xf numFmtId="1" fontId="0" fillId="6" borderId="1" xfId="0" applyNumberFormat="1" applyFill="1" applyBorder="1" applyAlignment="1">
      <alignment horizontal="center" vertical="center"/>
    </xf>
    <xf numFmtId="1" fontId="0" fillId="6" borderId="1" xfId="0" applyNumberFormat="1" applyFill="1" applyBorder="1" applyAlignment="1">
      <alignment horizontal="left" vertical="center"/>
    </xf>
    <xf numFmtId="0" fontId="1" fillId="6" borderId="11" xfId="0" applyFont="1" applyFill="1" applyBorder="1" applyAlignment="1">
      <alignment horizontal="center" vertical="center" wrapText="1"/>
    </xf>
    <xf numFmtId="1" fontId="0" fillId="6" borderId="11" xfId="0" applyNumberFormat="1" applyFill="1" applyBorder="1" applyAlignment="1">
      <alignment horizontal="center" vertical="center"/>
    </xf>
    <xf numFmtId="1" fontId="0" fillId="6" borderId="11" xfId="0" applyNumberFormat="1" applyFill="1" applyBorder="1" applyAlignment="1">
      <alignment horizontal="left" vertical="center"/>
    </xf>
    <xf numFmtId="1" fontId="0" fillId="6" borderId="1" xfId="0" applyNumberFormat="1" applyFill="1" applyBorder="1"/>
    <xf numFmtId="165" fontId="5" fillId="3" borderId="1" xfId="1" applyNumberFormat="1" applyFont="1" applyFill="1" applyBorder="1" applyAlignment="1">
      <alignment horizontal="center" vertical="center"/>
    </xf>
    <xf numFmtId="167" fontId="3" fillId="4" borderId="11" xfId="1" applyNumberFormat="1" applyFont="1" applyFill="1" applyBorder="1" applyAlignment="1">
      <alignment horizontal="center" vertical="center"/>
    </xf>
    <xf numFmtId="165" fontId="3" fillId="3" borderId="11" xfId="1" applyNumberFormat="1" applyFont="1" applyFill="1" applyBorder="1" applyAlignment="1">
      <alignment horizontal="center" vertical="center" wrapText="1"/>
    </xf>
    <xf numFmtId="0" fontId="5" fillId="0" borderId="0" xfId="0" applyFont="1"/>
    <xf numFmtId="1" fontId="5" fillId="6" borderId="1" xfId="0" applyNumberFormat="1" applyFont="1" applyFill="1" applyBorder="1" applyAlignment="1">
      <alignment horizontal="center" vertical="center"/>
    </xf>
    <xf numFmtId="2" fontId="0" fillId="3" borderId="1" xfId="0" applyNumberFormat="1" applyFill="1" applyBorder="1"/>
    <xf numFmtId="2" fontId="0" fillId="3" borderId="11" xfId="0" applyNumberFormat="1" applyFill="1" applyBorder="1"/>
    <xf numFmtId="1" fontId="5" fillId="0" borderId="11" xfId="0" applyNumberFormat="1" applyFont="1" applyBorder="1"/>
    <xf numFmtId="164" fontId="1" fillId="0" borderId="11" xfId="0" applyNumberFormat="1" applyFont="1" applyBorder="1" applyAlignment="1">
      <alignment horizontal="center" vertical="center"/>
    </xf>
    <xf numFmtId="165" fontId="0" fillId="4" borderId="1" xfId="1" applyNumberFormat="1" applyFont="1" applyFill="1" applyBorder="1" applyAlignment="1">
      <alignment horizontal="center" vertical="center" wrapText="1"/>
    </xf>
    <xf numFmtId="165" fontId="0" fillId="4" borderId="1" xfId="1" applyNumberFormat="1" applyFont="1" applyFill="1" applyBorder="1" applyAlignment="1">
      <alignment horizontal="center" vertical="center"/>
    </xf>
    <xf numFmtId="165" fontId="2" fillId="4" borderId="1" xfId="1" applyNumberFormat="1" applyFont="1" applyFill="1" applyBorder="1" applyAlignment="1">
      <alignment horizontal="center" vertical="center"/>
    </xf>
    <xf numFmtId="1" fontId="5" fillId="6" borderId="1" xfId="0" applyNumberFormat="1" applyFont="1" applyFill="1" applyBorder="1"/>
    <xf numFmtId="0" fontId="5" fillId="0" borderId="1" xfId="0" applyFont="1" applyBorder="1" applyAlignment="1">
      <alignment horizontal="center" wrapText="1"/>
    </xf>
    <xf numFmtId="165" fontId="5" fillId="0" borderId="1" xfId="1" applyNumberFormat="1" applyFont="1" applyFill="1" applyBorder="1" applyAlignment="1">
      <alignment horizontal="center" wrapText="1"/>
    </xf>
    <xf numFmtId="164" fontId="5" fillId="0" borderId="1" xfId="1" applyFont="1" applyFill="1" applyBorder="1" applyAlignment="1">
      <alignment horizontal="center" wrapText="1"/>
    </xf>
    <xf numFmtId="165" fontId="5" fillId="3" borderId="1" xfId="1" applyNumberFormat="1" applyFont="1" applyFill="1" applyBorder="1" applyAlignment="1">
      <alignment horizontal="center" wrapText="1"/>
    </xf>
    <xf numFmtId="165" fontId="5" fillId="0" borderId="1" xfId="1" applyNumberFormat="1" applyFont="1" applyFill="1" applyBorder="1" applyAlignment="1">
      <alignment horizontal="center"/>
    </xf>
    <xf numFmtId="164" fontId="5" fillId="0" borderId="1" xfId="1" applyFont="1" applyFill="1" applyBorder="1" applyAlignment="1">
      <alignment horizontal="center"/>
    </xf>
    <xf numFmtId="165" fontId="5" fillId="3" borderId="1" xfId="1" applyNumberFormat="1" applyFont="1" applyFill="1" applyBorder="1" applyAlignment="1">
      <alignment horizontal="center"/>
    </xf>
    <xf numFmtId="165" fontId="2" fillId="4" borderId="11" xfId="1" applyNumberFormat="1" applyFont="1" applyFill="1" applyBorder="1" applyAlignment="1">
      <alignment horizontal="center" wrapText="1"/>
    </xf>
    <xf numFmtId="165" fontId="2" fillId="3" borderId="11" xfId="1" applyNumberFormat="1" applyFont="1" applyFill="1" applyBorder="1" applyAlignment="1">
      <alignment horizontal="center" wrapText="1"/>
    </xf>
    <xf numFmtId="0" fontId="0" fillId="0" borderId="1" xfId="0" quotePrefix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1" fontId="0" fillId="0" borderId="6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1" fontId="0" fillId="0" borderId="39" xfId="0" applyNumberForma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right" vertical="center"/>
    </xf>
    <xf numFmtId="164" fontId="5" fillId="3" borderId="1" xfId="1" applyFont="1" applyFill="1" applyBorder="1"/>
    <xf numFmtId="1" fontId="5" fillId="0" borderId="1" xfId="0" applyNumberFormat="1" applyFont="1" applyBorder="1" applyAlignment="1">
      <alignment vertical="center" wrapText="1"/>
    </xf>
    <xf numFmtId="0" fontId="0" fillId="0" borderId="28" xfId="0" applyBorder="1" applyAlignment="1">
      <alignment horizontal="center" vertical="center"/>
    </xf>
    <xf numFmtId="168" fontId="0" fillId="0" borderId="32" xfId="0" applyNumberFormat="1" applyBorder="1" applyAlignment="1">
      <alignment horizontal="center" vertical="center"/>
    </xf>
    <xf numFmtId="168" fontId="2" fillId="0" borderId="41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3" fontId="1" fillId="5" borderId="1" xfId="0" applyNumberFormat="1" applyFont="1" applyFill="1" applyBorder="1" applyAlignment="1">
      <alignment horizontal="center" vertical="center" wrapText="1"/>
    </xf>
    <xf numFmtId="3" fontId="1" fillId="5" borderId="2" xfId="0" applyNumberFormat="1" applyFont="1" applyFill="1" applyBorder="1" applyAlignment="1">
      <alignment horizontal="center" vertical="center"/>
    </xf>
    <xf numFmtId="3" fontId="1" fillId="5" borderId="2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3" fontId="1" fillId="9" borderId="1" xfId="0" applyNumberFormat="1" applyFont="1" applyFill="1" applyBorder="1" applyAlignment="1">
      <alignment horizontal="center" vertical="center" wrapText="1"/>
    </xf>
    <xf numFmtId="3" fontId="1" fillId="9" borderId="2" xfId="0" applyNumberFormat="1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3" fontId="6" fillId="8" borderId="1" xfId="0" applyNumberFormat="1" applyFont="1" applyFill="1" applyBorder="1" applyAlignment="1">
      <alignment horizontal="center" vertical="center" wrapText="1"/>
    </xf>
    <xf numFmtId="3" fontId="6" fillId="8" borderId="2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3" fontId="6" fillId="7" borderId="1" xfId="0" applyNumberFormat="1" applyFont="1" applyFill="1" applyBorder="1" applyAlignment="1">
      <alignment horizontal="center" vertical="center" wrapText="1"/>
    </xf>
    <xf numFmtId="3" fontId="6" fillId="7" borderId="2" xfId="0" applyNumberFormat="1" applyFont="1" applyFill="1" applyBorder="1" applyAlignment="1">
      <alignment horizontal="center" vertical="center"/>
    </xf>
    <xf numFmtId="0" fontId="1" fillId="9" borderId="11" xfId="0" applyFont="1" applyFill="1" applyBorder="1" applyAlignment="1">
      <alignment horizontal="center" vertical="center"/>
    </xf>
    <xf numFmtId="3" fontId="9" fillId="10" borderId="13" xfId="0" applyNumberFormat="1" applyFont="1" applyFill="1" applyBorder="1" applyAlignment="1">
      <alignment horizontal="center" vertical="center"/>
    </xf>
    <xf numFmtId="3" fontId="9" fillId="10" borderId="2" xfId="0" applyNumberFormat="1" applyFont="1" applyFill="1" applyBorder="1" applyAlignment="1">
      <alignment horizontal="center" vertical="center"/>
    </xf>
    <xf numFmtId="3" fontId="9" fillId="12" borderId="1" xfId="0" applyNumberFormat="1" applyFont="1" applyFill="1" applyBorder="1" applyAlignment="1">
      <alignment horizontal="center" vertical="center"/>
    </xf>
    <xf numFmtId="3" fontId="10" fillId="12" borderId="1" xfId="0" applyNumberFormat="1" applyFont="1" applyFill="1" applyBorder="1" applyAlignment="1">
      <alignment horizontal="center" vertical="center"/>
    </xf>
    <xf numFmtId="3" fontId="9" fillId="12" borderId="2" xfId="0" applyNumberFormat="1" applyFont="1" applyFill="1" applyBorder="1" applyAlignment="1">
      <alignment horizontal="center" vertical="center"/>
    </xf>
    <xf numFmtId="3" fontId="9" fillId="11" borderId="1" xfId="0" applyNumberFormat="1" applyFont="1" applyFill="1" applyBorder="1" applyAlignment="1">
      <alignment horizontal="center" vertical="center"/>
    </xf>
    <xf numFmtId="3" fontId="10" fillId="11" borderId="1" xfId="0" applyNumberFormat="1" applyFont="1" applyFill="1" applyBorder="1" applyAlignment="1">
      <alignment horizontal="center" vertical="center"/>
    </xf>
    <xf numFmtId="3" fontId="9" fillId="11" borderId="2" xfId="0" applyNumberFormat="1" applyFont="1" applyFill="1" applyBorder="1" applyAlignment="1">
      <alignment horizontal="center" vertical="center"/>
    </xf>
    <xf numFmtId="3" fontId="9" fillId="10" borderId="1" xfId="0" applyNumberFormat="1" applyFont="1" applyFill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3" fontId="1" fillId="13" borderId="1" xfId="0" applyNumberFormat="1" applyFont="1" applyFill="1" applyBorder="1" applyAlignment="1">
      <alignment horizontal="center" vertical="center" wrapText="1"/>
    </xf>
    <xf numFmtId="3" fontId="1" fillId="13" borderId="2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" fontId="6" fillId="8" borderId="0" xfId="0" applyNumberFormat="1" applyFont="1" applyFill="1" applyAlignment="1">
      <alignment horizontal="center" vertical="center"/>
    </xf>
    <xf numFmtId="14" fontId="0" fillId="0" borderId="1" xfId="0" quotePrefix="1" applyNumberFormat="1" applyBorder="1" applyAlignment="1">
      <alignment horizontal="center" vertical="center"/>
    </xf>
    <xf numFmtId="14" fontId="0" fillId="0" borderId="1" xfId="0" quotePrefix="1" applyNumberFormat="1" applyBorder="1" applyAlignment="1">
      <alignment horizontal="center" vertical="center" wrapText="1"/>
    </xf>
    <xf numFmtId="14" fontId="0" fillId="3" borderId="1" xfId="0" quotePrefix="1" applyNumberFormat="1" applyFill="1" applyBorder="1" applyAlignment="1">
      <alignment horizontal="center" vertical="center" wrapText="1"/>
    </xf>
    <xf numFmtId="2" fontId="0" fillId="0" borderId="1" xfId="0" applyNumberFormat="1" applyBorder="1"/>
    <xf numFmtId="2" fontId="0" fillId="0" borderId="11" xfId="0" applyNumberFormat="1" applyBorder="1"/>
    <xf numFmtId="2" fontId="5" fillId="0" borderId="1" xfId="0" applyNumberFormat="1" applyFont="1" applyBorder="1"/>
    <xf numFmtId="170" fontId="2" fillId="0" borderId="1" xfId="1" applyNumberFormat="1" applyFont="1" applyFill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1" fillId="2" borderId="33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7" fontId="0" fillId="0" borderId="0" xfId="1" applyNumberFormat="1" applyFont="1" applyFill="1" applyBorder="1" applyAlignment="1">
      <alignment horizontal="center" vertical="center"/>
    </xf>
    <xf numFmtId="167" fontId="7" fillId="15" borderId="1" xfId="1" applyNumberFormat="1" applyFont="1" applyFill="1" applyBorder="1" applyAlignment="1">
      <alignment horizontal="center" vertical="center"/>
    </xf>
    <xf numFmtId="167" fontId="7" fillId="15" borderId="13" xfId="1" applyNumberFormat="1" applyFont="1" applyFill="1" applyBorder="1" applyAlignment="1">
      <alignment horizontal="center" vertical="center"/>
    </xf>
    <xf numFmtId="49" fontId="0" fillId="16" borderId="29" xfId="0" applyNumberFormat="1" applyFill="1" applyBorder="1" applyAlignment="1">
      <alignment horizontal="center" vertical="center"/>
    </xf>
    <xf numFmtId="1" fontId="5" fillId="16" borderId="30" xfId="0" applyNumberFormat="1" applyFont="1" applyFill="1" applyBorder="1" applyAlignment="1">
      <alignment horizontal="left" vertical="center"/>
    </xf>
    <xf numFmtId="49" fontId="5" fillId="16" borderId="35" xfId="0" applyNumberFormat="1" applyFont="1" applyFill="1" applyBorder="1" applyAlignment="1">
      <alignment horizontal="center" vertical="center" wrapText="1"/>
    </xf>
    <xf numFmtId="1" fontId="5" fillId="16" borderId="2" xfId="0" applyNumberFormat="1" applyFont="1" applyFill="1" applyBorder="1" applyAlignment="1">
      <alignment horizontal="left" vertical="center"/>
    </xf>
    <xf numFmtId="49" fontId="0" fillId="16" borderId="35" xfId="0" applyNumberFormat="1" applyFill="1" applyBorder="1" applyAlignment="1">
      <alignment horizontal="center" vertical="center"/>
    </xf>
    <xf numFmtId="1" fontId="0" fillId="16" borderId="2" xfId="0" applyNumberFormat="1" applyFill="1" applyBorder="1" applyAlignment="1">
      <alignment horizontal="left" vertical="center"/>
    </xf>
    <xf numFmtId="49" fontId="5" fillId="16" borderId="35" xfId="0" applyNumberFormat="1" applyFont="1" applyFill="1" applyBorder="1" applyAlignment="1">
      <alignment horizontal="center" vertical="center"/>
    </xf>
    <xf numFmtId="167" fontId="7" fillId="11" borderId="29" xfId="1" applyNumberFormat="1" applyFont="1" applyFill="1" applyBorder="1" applyAlignment="1">
      <alignment horizontal="center" vertical="center"/>
    </xf>
    <xf numFmtId="167" fontId="7" fillId="11" borderId="30" xfId="1" applyNumberFormat="1" applyFont="1" applyFill="1" applyBorder="1" applyAlignment="1">
      <alignment horizontal="center" vertical="center"/>
    </xf>
    <xf numFmtId="167" fontId="7" fillId="11" borderId="35" xfId="1" applyNumberFormat="1" applyFont="1" applyFill="1" applyBorder="1" applyAlignment="1">
      <alignment horizontal="center" vertical="center"/>
    </xf>
    <xf numFmtId="167" fontId="7" fillId="11" borderId="2" xfId="1" applyNumberFormat="1" applyFont="1" applyFill="1" applyBorder="1" applyAlignment="1">
      <alignment horizontal="center" vertical="center"/>
    </xf>
    <xf numFmtId="167" fontId="0" fillId="11" borderId="35" xfId="1" applyNumberFormat="1" applyFont="1" applyFill="1" applyBorder="1" applyAlignment="1">
      <alignment horizontal="center" vertical="center"/>
    </xf>
    <xf numFmtId="167" fontId="5" fillId="11" borderId="7" xfId="1" applyNumberFormat="1" applyFont="1" applyFill="1" applyBorder="1" applyAlignment="1">
      <alignment horizontal="center" vertical="center"/>
    </xf>
    <xf numFmtId="167" fontId="7" fillId="17" borderId="1" xfId="1" applyNumberFormat="1" applyFont="1" applyFill="1" applyBorder="1" applyAlignment="1">
      <alignment horizontal="center" vertical="center"/>
    </xf>
    <xf numFmtId="1" fontId="7" fillId="17" borderId="1" xfId="1" applyNumberFormat="1" applyFont="1" applyFill="1" applyBorder="1" applyAlignment="1">
      <alignment horizontal="center" vertical="center"/>
    </xf>
    <xf numFmtId="49" fontId="0" fillId="16" borderId="7" xfId="0" applyNumberFormat="1" applyFill="1" applyBorder="1" applyAlignment="1">
      <alignment horizontal="center" vertical="center"/>
    </xf>
    <xf numFmtId="2" fontId="0" fillId="0" borderId="0" xfId="1" applyNumberFormat="1" applyFont="1" applyFill="1" applyBorder="1" applyAlignment="1">
      <alignment horizontal="center" vertical="center"/>
    </xf>
    <xf numFmtId="2" fontId="2" fillId="2" borderId="15" xfId="1" applyNumberFormat="1" applyFont="1" applyFill="1" applyBorder="1" applyAlignment="1">
      <alignment horizontal="center" vertical="center"/>
    </xf>
    <xf numFmtId="2" fontId="2" fillId="0" borderId="1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2" fontId="2" fillId="0" borderId="1" xfId="1" applyNumberFormat="1" applyFont="1" applyFill="1" applyBorder="1" applyAlignment="1">
      <alignment horizontal="center" vertical="center"/>
    </xf>
    <xf numFmtId="2" fontId="7" fillId="2" borderId="1" xfId="1" applyNumberFormat="1" applyFont="1" applyFill="1" applyBorder="1"/>
    <xf numFmtId="2" fontId="5" fillId="3" borderId="1" xfId="1" applyNumberFormat="1" applyFont="1" applyFill="1" applyBorder="1" applyAlignment="1">
      <alignment horizontal="center" vertical="center"/>
    </xf>
    <xf numFmtId="2" fontId="0" fillId="0" borderId="1" xfId="1" applyNumberFormat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wrapText="1"/>
    </xf>
    <xf numFmtId="2" fontId="5" fillId="3" borderId="1" xfId="1" applyNumberFormat="1" applyFont="1" applyFill="1" applyBorder="1" applyAlignment="1">
      <alignment horizontal="center"/>
    </xf>
    <xf numFmtId="2" fontId="0" fillId="3" borderId="1" xfId="1" applyNumberFormat="1" applyFont="1" applyFill="1" applyBorder="1" applyAlignment="1">
      <alignment horizontal="center" vertical="center"/>
    </xf>
    <xf numFmtId="4" fontId="0" fillId="0" borderId="0" xfId="1" applyNumberFormat="1" applyFont="1" applyFill="1" applyBorder="1" applyAlignment="1">
      <alignment horizontal="center" vertical="center"/>
    </xf>
    <xf numFmtId="4" fontId="2" fillId="2" borderId="15" xfId="1" applyNumberFormat="1" applyFont="1" applyFill="1" applyBorder="1" applyAlignment="1">
      <alignment horizontal="center" vertical="center"/>
    </xf>
    <xf numFmtId="4" fontId="0" fillId="0" borderId="11" xfId="1" applyNumberFormat="1" applyFont="1" applyFill="1" applyBorder="1"/>
    <xf numFmtId="4" fontId="5" fillId="0" borderId="1" xfId="1" applyNumberFormat="1" applyFont="1" applyFill="1" applyBorder="1"/>
    <xf numFmtId="4" fontId="0" fillId="3" borderId="1" xfId="1" applyNumberFormat="1" applyFont="1" applyFill="1" applyBorder="1"/>
    <xf numFmtId="4" fontId="0" fillId="0" borderId="1" xfId="1" applyNumberFormat="1" applyFont="1" applyFill="1" applyBorder="1"/>
    <xf numFmtId="4" fontId="5" fillId="0" borderId="1" xfId="1" applyNumberFormat="1" applyFont="1" applyFill="1" applyBorder="1" applyAlignment="1">
      <alignment wrapText="1"/>
    </xf>
    <xf numFmtId="4" fontId="5" fillId="0" borderId="1" xfId="1" applyNumberFormat="1" applyFont="1" applyFill="1" applyBorder="1" applyAlignment="1"/>
    <xf numFmtId="1" fontId="5" fillId="16" borderId="39" xfId="0" applyNumberFormat="1" applyFont="1" applyFill="1" applyBorder="1" applyAlignment="1">
      <alignment horizontal="left" vertical="center"/>
    </xf>
    <xf numFmtId="14" fontId="0" fillId="0" borderId="1" xfId="0" quotePrefix="1" applyNumberFormat="1" applyBorder="1" applyAlignment="1">
      <alignment horizontal="center" wrapText="1"/>
    </xf>
    <xf numFmtId="167" fontId="7" fillId="15" borderId="49" xfId="1" applyNumberFormat="1" applyFont="1" applyFill="1" applyBorder="1" applyAlignment="1">
      <alignment horizontal="center" vertical="center"/>
    </xf>
    <xf numFmtId="167" fontId="7" fillId="15" borderId="23" xfId="1" applyNumberFormat="1" applyFont="1" applyFill="1" applyBorder="1" applyAlignment="1">
      <alignment horizontal="center" vertical="center"/>
    </xf>
    <xf numFmtId="167" fontId="7" fillId="17" borderId="23" xfId="1" applyNumberFormat="1" applyFont="1" applyFill="1" applyBorder="1" applyAlignment="1">
      <alignment horizontal="center" vertical="center"/>
    </xf>
    <xf numFmtId="1" fontId="7" fillId="17" borderId="23" xfId="1" applyNumberFormat="1" applyFont="1" applyFill="1" applyBorder="1" applyAlignment="1">
      <alignment horizontal="center" vertical="center"/>
    </xf>
    <xf numFmtId="3" fontId="7" fillId="17" borderId="30" xfId="1" applyNumberFormat="1" applyFont="1" applyFill="1" applyBorder="1" applyAlignment="1">
      <alignment horizontal="center" vertical="center"/>
    </xf>
    <xf numFmtId="3" fontId="7" fillId="17" borderId="2" xfId="1" applyNumberFormat="1" applyFont="1" applyFill="1" applyBorder="1" applyAlignment="1">
      <alignment horizontal="center" vertical="center"/>
    </xf>
    <xf numFmtId="167" fontId="7" fillId="15" borderId="19" xfId="1" applyNumberFormat="1" applyFont="1" applyFill="1" applyBorder="1" applyAlignment="1">
      <alignment horizontal="center" vertical="center"/>
    </xf>
    <xf numFmtId="167" fontId="7" fillId="11" borderId="15" xfId="1" applyNumberFormat="1" applyFont="1" applyFill="1" applyBorder="1" applyAlignment="1">
      <alignment horizontal="center" vertical="center"/>
    </xf>
    <xf numFmtId="167" fontId="7" fillId="11" borderId="9" xfId="1" applyNumberFormat="1" applyFont="1" applyFill="1" applyBorder="1" applyAlignment="1">
      <alignment horizontal="center" vertical="center"/>
    </xf>
    <xf numFmtId="167" fontId="7" fillId="15" borderId="18" xfId="1" applyNumberFormat="1" applyFont="1" applyFill="1" applyBorder="1" applyAlignment="1">
      <alignment horizontal="center" vertical="center"/>
    </xf>
    <xf numFmtId="167" fontId="7" fillId="17" borderId="18" xfId="1" applyNumberFormat="1" applyFont="1" applyFill="1" applyBorder="1" applyAlignment="1">
      <alignment horizontal="center" vertical="center"/>
    </xf>
    <xf numFmtId="1" fontId="7" fillId="17" borderId="18" xfId="1" applyNumberFormat="1" applyFont="1" applyFill="1" applyBorder="1" applyAlignment="1">
      <alignment horizontal="center" vertical="center"/>
    </xf>
    <xf numFmtId="3" fontId="7" fillId="17" borderId="9" xfId="1" applyNumberFormat="1" applyFont="1" applyFill="1" applyBorder="1" applyAlignment="1">
      <alignment horizontal="center" vertical="center"/>
    </xf>
    <xf numFmtId="167" fontId="1" fillId="15" borderId="10" xfId="1" applyNumberFormat="1" applyFont="1" applyFill="1" applyBorder="1" applyAlignment="1">
      <alignment horizontal="center" vertical="center"/>
    </xf>
    <xf numFmtId="167" fontId="1" fillId="11" borderId="3" xfId="1" applyNumberFormat="1" applyFont="1" applyFill="1" applyBorder="1" applyAlignment="1">
      <alignment horizontal="center" vertical="center"/>
    </xf>
    <xf numFmtId="167" fontId="1" fillId="11" borderId="4" xfId="1" applyNumberFormat="1" applyFont="1" applyFill="1" applyBorder="1" applyAlignment="1">
      <alignment horizontal="center" vertical="center"/>
    </xf>
    <xf numFmtId="167" fontId="1" fillId="17" borderId="10" xfId="1" applyNumberFormat="1" applyFont="1" applyFill="1" applyBorder="1" applyAlignment="1">
      <alignment horizontal="center" vertical="center"/>
    </xf>
    <xf numFmtId="1" fontId="1" fillId="17" borderId="10" xfId="1" applyNumberFormat="1" applyFont="1" applyFill="1" applyBorder="1" applyAlignment="1">
      <alignment horizontal="center" vertical="center"/>
    </xf>
    <xf numFmtId="3" fontId="1" fillId="4" borderId="4" xfId="1" applyNumberFormat="1" applyFont="1" applyFill="1" applyBorder="1" applyAlignment="1">
      <alignment horizontal="center" vertical="center"/>
    </xf>
    <xf numFmtId="167" fontId="1" fillId="15" borderId="42" xfId="1" applyNumberFormat="1" applyFont="1" applyFill="1" applyBorder="1" applyAlignment="1">
      <alignment horizontal="center" vertical="center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8" xfId="1" applyNumberFormat="1" applyFont="1" applyFill="1" applyBorder="1" applyAlignment="1">
      <alignment horizontal="center" vertical="center" wrapText="1"/>
    </xf>
    <xf numFmtId="167" fontId="7" fillId="15" borderId="50" xfId="1" applyNumberFormat="1" applyFont="1" applyFill="1" applyBorder="1" applyAlignment="1">
      <alignment horizontal="center" vertical="center"/>
    </xf>
    <xf numFmtId="167" fontId="7" fillId="15" borderId="31" xfId="1" applyNumberFormat="1" applyFont="1" applyFill="1" applyBorder="1" applyAlignment="1">
      <alignment horizontal="center" vertical="center"/>
    </xf>
    <xf numFmtId="167" fontId="7" fillId="15" borderId="21" xfId="1" applyNumberFormat="1" applyFont="1" applyFill="1" applyBorder="1" applyAlignment="1">
      <alignment horizontal="center" vertical="center"/>
    </xf>
    <xf numFmtId="167" fontId="1" fillId="15" borderId="51" xfId="1" applyNumberFormat="1" applyFont="1" applyFill="1" applyBorder="1" applyAlignment="1">
      <alignment horizontal="center" vertical="center"/>
    </xf>
    <xf numFmtId="165" fontId="2" fillId="2" borderId="42" xfId="1" applyNumberFormat="1" applyFont="1" applyFill="1" applyBorder="1" applyAlignment="1">
      <alignment horizontal="center" vertical="center" wrapText="1"/>
    </xf>
    <xf numFmtId="9" fontId="7" fillId="16" borderId="49" xfId="1" applyNumberFormat="1" applyFont="1" applyFill="1" applyBorder="1" applyAlignment="1">
      <alignment horizontal="center" vertical="center"/>
    </xf>
    <xf numFmtId="9" fontId="7" fillId="16" borderId="13" xfId="1" applyNumberFormat="1" applyFont="1" applyFill="1" applyBorder="1" applyAlignment="1">
      <alignment horizontal="center" vertical="center"/>
    </xf>
    <xf numFmtId="9" fontId="7" fillId="16" borderId="19" xfId="1" applyNumberFormat="1" applyFont="1" applyFill="1" applyBorder="1" applyAlignment="1">
      <alignment horizontal="center" vertical="center"/>
    </xf>
    <xf numFmtId="9" fontId="1" fillId="16" borderId="42" xfId="1" applyNumberFormat="1" applyFont="1" applyFill="1" applyBorder="1" applyAlignment="1">
      <alignment horizontal="center" vertical="center"/>
    </xf>
    <xf numFmtId="165" fontId="2" fillId="2" borderId="26" xfId="1" applyNumberFormat="1" applyFont="1" applyFill="1" applyBorder="1" applyAlignment="1">
      <alignment horizontal="center" vertical="center" wrapText="1"/>
    </xf>
    <xf numFmtId="167" fontId="7" fillId="15" borderId="52" xfId="1" applyNumberFormat="1" applyFont="1" applyFill="1" applyBorder="1" applyAlignment="1">
      <alignment horizontal="center" vertical="center"/>
    </xf>
    <xf numFmtId="167" fontId="7" fillId="15" borderId="53" xfId="1" applyNumberFormat="1" applyFont="1" applyFill="1" applyBorder="1" applyAlignment="1">
      <alignment horizontal="center" vertical="center"/>
    </xf>
    <xf numFmtId="167" fontId="7" fillId="15" borderId="54" xfId="1" applyNumberFormat="1" applyFont="1" applyFill="1" applyBorder="1" applyAlignment="1">
      <alignment horizontal="center" vertical="center"/>
    </xf>
    <xf numFmtId="167" fontId="1" fillId="15" borderId="26" xfId="1" applyNumberFormat="1" applyFont="1" applyFill="1" applyBorder="1" applyAlignment="1">
      <alignment horizontal="center" vertical="center"/>
    </xf>
    <xf numFmtId="49" fontId="0" fillId="16" borderId="24" xfId="0" applyNumberFormat="1" applyFill="1" applyBorder="1" applyAlignment="1">
      <alignment horizontal="center" vertical="center"/>
    </xf>
    <xf numFmtId="1" fontId="1" fillId="16" borderId="26" xfId="0" applyNumberFormat="1" applyFont="1" applyFill="1" applyBorder="1" applyAlignment="1">
      <alignment horizontal="center" vertical="center"/>
    </xf>
    <xf numFmtId="167" fontId="7" fillId="15" borderId="30" xfId="1" applyNumberFormat="1" applyFont="1" applyFill="1" applyBorder="1" applyAlignment="1">
      <alignment horizontal="center" vertical="center"/>
    </xf>
    <xf numFmtId="167" fontId="7" fillId="15" borderId="2" xfId="1" applyNumberFormat="1" applyFont="1" applyFill="1" applyBorder="1" applyAlignment="1">
      <alignment horizontal="center" vertical="center"/>
    </xf>
    <xf numFmtId="167" fontId="7" fillId="15" borderId="9" xfId="1" applyNumberFormat="1" applyFont="1" applyFill="1" applyBorder="1" applyAlignment="1">
      <alignment horizontal="center" vertical="center"/>
    </xf>
    <xf numFmtId="167" fontId="1" fillId="15" borderId="4" xfId="1" applyNumberFormat="1" applyFont="1" applyFill="1" applyBorder="1" applyAlignment="1">
      <alignment horizontal="center" vertical="center"/>
    </xf>
    <xf numFmtId="167" fontId="7" fillId="14" borderId="52" xfId="1" applyNumberFormat="1" applyFont="1" applyFill="1" applyBorder="1" applyAlignment="1">
      <alignment horizontal="center" vertical="center"/>
    </xf>
    <xf numFmtId="167" fontId="7" fillId="14" borderId="53" xfId="1" applyNumberFormat="1" applyFont="1" applyFill="1" applyBorder="1" applyAlignment="1">
      <alignment horizontal="center" vertical="center"/>
    </xf>
    <xf numFmtId="167" fontId="0" fillId="14" borderId="53" xfId="1" applyNumberFormat="1" applyFont="1" applyFill="1" applyBorder="1" applyAlignment="1">
      <alignment horizontal="center" vertical="center"/>
    </xf>
    <xf numFmtId="167" fontId="7" fillId="14" borderId="54" xfId="1" applyNumberFormat="1" applyFont="1" applyFill="1" applyBorder="1" applyAlignment="1">
      <alignment horizontal="center" vertical="center"/>
    </xf>
    <xf numFmtId="167" fontId="1" fillId="14" borderId="26" xfId="1" applyNumberFormat="1" applyFont="1" applyFill="1" applyBorder="1" applyAlignment="1">
      <alignment horizontal="center" vertical="center"/>
    </xf>
    <xf numFmtId="167" fontId="7" fillId="17" borderId="30" xfId="1" applyNumberFormat="1" applyFont="1" applyFill="1" applyBorder="1" applyAlignment="1">
      <alignment horizontal="center" vertical="center"/>
    </xf>
    <xf numFmtId="167" fontId="7" fillId="17" borderId="2" xfId="1" applyNumberFormat="1" applyFont="1" applyFill="1" applyBorder="1" applyAlignment="1">
      <alignment horizontal="center" vertical="center"/>
    </xf>
    <xf numFmtId="167" fontId="7" fillId="17" borderId="9" xfId="1" applyNumberFormat="1" applyFont="1" applyFill="1" applyBorder="1" applyAlignment="1">
      <alignment horizontal="center" vertical="center"/>
    </xf>
    <xf numFmtId="9" fontId="7" fillId="17" borderId="52" xfId="1" applyNumberFormat="1" applyFont="1" applyFill="1" applyBorder="1" applyAlignment="1">
      <alignment horizontal="center" vertical="center"/>
    </xf>
    <xf numFmtId="9" fontId="7" fillId="17" borderId="53" xfId="1" applyNumberFormat="1" applyFont="1" applyFill="1" applyBorder="1" applyAlignment="1">
      <alignment horizontal="center" vertical="center"/>
    </xf>
    <xf numFmtId="9" fontId="7" fillId="17" borderId="54" xfId="1" applyNumberFormat="1" applyFont="1" applyFill="1" applyBorder="1" applyAlignment="1">
      <alignment horizontal="center" vertical="center"/>
    </xf>
    <xf numFmtId="9" fontId="1" fillId="17" borderId="26" xfId="1" applyNumberFormat="1" applyFont="1" applyFill="1" applyBorder="1" applyAlignment="1">
      <alignment horizontal="center" vertical="center"/>
    </xf>
    <xf numFmtId="0" fontId="9" fillId="10" borderId="47" xfId="0" applyFont="1" applyFill="1" applyBorder="1" applyAlignment="1">
      <alignment horizontal="center" vertical="center"/>
    </xf>
    <xf numFmtId="0" fontId="9" fillId="10" borderId="4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left" vertical="center"/>
    </xf>
    <xf numFmtId="2" fontId="0" fillId="0" borderId="1" xfId="0" applyNumberFormat="1" applyFill="1" applyBorder="1"/>
    <xf numFmtId="0" fontId="0" fillId="0" borderId="0" xfId="0" applyFill="1"/>
    <xf numFmtId="1" fontId="0" fillId="0" borderId="1" xfId="0" applyNumberFormat="1" applyFill="1" applyBorder="1"/>
    <xf numFmtId="1" fontId="5" fillId="0" borderId="1" xfId="0" applyNumberFormat="1" applyFont="1" applyFill="1" applyBorder="1" applyAlignment="1">
      <alignment horizontal="left" vertical="center"/>
    </xf>
    <xf numFmtId="0" fontId="0" fillId="0" borderId="1" xfId="0" quotePrefix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165" fontId="1" fillId="2" borderId="1" xfId="1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" fontId="1" fillId="2" borderId="1" xfId="1" applyNumberFormat="1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center" vertical="center"/>
    </xf>
    <xf numFmtId="166" fontId="1" fillId="2" borderId="1" xfId="1" applyNumberFormat="1" applyFont="1" applyFill="1" applyBorder="1" applyAlignment="1">
      <alignment horizontal="center" vertical="center"/>
    </xf>
    <xf numFmtId="0" fontId="0" fillId="0" borderId="0" xfId="0" applyBorder="1"/>
    <xf numFmtId="0" fontId="1" fillId="2" borderId="1" xfId="0" quotePrefix="1" applyFont="1" applyFill="1" applyBorder="1" applyAlignment="1">
      <alignment horizontal="center" vertical="center"/>
    </xf>
    <xf numFmtId="169" fontId="1" fillId="2" borderId="1" xfId="1" applyNumberFormat="1" applyFont="1" applyFill="1" applyBorder="1" applyAlignment="1">
      <alignment horizontal="center" vertical="center"/>
    </xf>
    <xf numFmtId="165" fontId="1" fillId="2" borderId="34" xfId="1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4" fontId="0" fillId="6" borderId="1" xfId="1" applyNumberFormat="1" applyFont="1" applyFill="1" applyBorder="1"/>
    <xf numFmtId="165" fontId="0" fillId="6" borderId="1" xfId="1" applyNumberFormat="1" applyFont="1" applyFill="1" applyBorder="1" applyAlignment="1">
      <alignment horizontal="center" vertical="center"/>
    </xf>
    <xf numFmtId="165" fontId="5" fillId="6" borderId="1" xfId="1" applyNumberFormat="1" applyFont="1" applyFill="1" applyBorder="1" applyAlignment="1">
      <alignment horizontal="center" vertical="center"/>
    </xf>
    <xf numFmtId="2" fontId="5" fillId="6" borderId="1" xfId="1" applyNumberFormat="1" applyFont="1" applyFill="1" applyBorder="1" applyAlignment="1">
      <alignment horizontal="center" vertical="center"/>
    </xf>
    <xf numFmtId="164" fontId="5" fillId="6" borderId="1" xfId="1" applyFont="1" applyFill="1" applyBorder="1" applyAlignment="1">
      <alignment horizontal="center" vertical="center"/>
    </xf>
    <xf numFmtId="2" fontId="0" fillId="6" borderId="1" xfId="1" applyNumberFormat="1" applyFont="1" applyFill="1" applyBorder="1" applyAlignment="1">
      <alignment horizontal="center" vertical="center"/>
    </xf>
    <xf numFmtId="164" fontId="0" fillId="6" borderId="1" xfId="1" applyFont="1" applyFill="1" applyBorder="1" applyAlignment="1">
      <alignment horizontal="center" vertical="center"/>
    </xf>
    <xf numFmtId="171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2" fontId="0" fillId="3" borderId="34" xfId="0" applyNumberFormat="1" applyFill="1" applyBorder="1" applyAlignment="1">
      <alignment horizontal="center" vertical="center"/>
    </xf>
    <xf numFmtId="2" fontId="0" fillId="3" borderId="36" xfId="0" applyNumberFormat="1" applyFill="1" applyBorder="1" applyAlignment="1">
      <alignment horizontal="center" vertical="center"/>
    </xf>
    <xf numFmtId="2" fontId="0" fillId="3" borderId="11" xfId="0" applyNumberFormat="1" applyFill="1" applyBorder="1" applyAlignment="1">
      <alignment horizontal="center" vertical="center"/>
    </xf>
    <xf numFmtId="4" fontId="0" fillId="3" borderId="34" xfId="0" applyNumberFormat="1" applyFill="1" applyBorder="1" applyAlignment="1">
      <alignment horizontal="center" vertical="center"/>
    </xf>
    <xf numFmtId="4" fontId="0" fillId="3" borderId="36" xfId="0" applyNumberFormat="1" applyFill="1" applyBorder="1" applyAlignment="1">
      <alignment horizontal="center" vertical="center"/>
    </xf>
    <xf numFmtId="4" fontId="0" fillId="3" borderId="11" xfId="0" applyNumberFormat="1" applyFill="1" applyBorder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165" fontId="1" fillId="2" borderId="24" xfId="1" applyNumberFormat="1" applyFont="1" applyFill="1" applyBorder="1" applyAlignment="1">
      <alignment horizontal="center" vertical="center"/>
    </xf>
    <xf numFmtId="165" fontId="1" fillId="2" borderId="25" xfId="1" applyNumberFormat="1" applyFont="1" applyFill="1" applyBorder="1" applyAlignment="1">
      <alignment horizontal="center" vertical="center"/>
    </xf>
    <xf numFmtId="165" fontId="1" fillId="2" borderId="26" xfId="1" applyNumberFormat="1" applyFont="1" applyFill="1" applyBorder="1" applyAlignment="1">
      <alignment horizontal="center" vertical="center"/>
    </xf>
    <xf numFmtId="164" fontId="1" fillId="2" borderId="29" xfId="1" applyFont="1" applyFill="1" applyBorder="1" applyAlignment="1">
      <alignment horizontal="center" vertical="center"/>
    </xf>
    <xf numFmtId="164" fontId="1" fillId="2" borderId="30" xfId="1" applyFont="1" applyFill="1" applyBorder="1" applyAlignment="1">
      <alignment horizontal="center" vertical="center"/>
    </xf>
    <xf numFmtId="165" fontId="1" fillId="2" borderId="29" xfId="1" applyNumberFormat="1" applyFont="1" applyFill="1" applyBorder="1" applyAlignment="1">
      <alignment horizontal="center" vertical="center"/>
    </xf>
    <xf numFmtId="165" fontId="1" fillId="2" borderId="30" xfId="1" applyNumberFormat="1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2" fontId="5" fillId="3" borderId="34" xfId="0" applyNumberFormat="1" applyFont="1" applyFill="1" applyBorder="1" applyAlignment="1">
      <alignment horizontal="center" vertical="center"/>
    </xf>
    <xf numFmtId="2" fontId="5" fillId="3" borderId="36" xfId="0" applyNumberFormat="1" applyFont="1" applyFill="1" applyBorder="1" applyAlignment="1">
      <alignment horizontal="center" vertical="center"/>
    </xf>
    <xf numFmtId="2" fontId="5" fillId="3" borderId="11" xfId="0" applyNumberFormat="1" applyFont="1" applyFill="1" applyBorder="1" applyAlignment="1">
      <alignment horizontal="center" vertical="center"/>
    </xf>
    <xf numFmtId="4" fontId="5" fillId="3" borderId="34" xfId="0" applyNumberFormat="1" applyFont="1" applyFill="1" applyBorder="1" applyAlignment="1">
      <alignment horizontal="center" vertical="center"/>
    </xf>
    <xf numFmtId="4" fontId="5" fillId="3" borderId="36" xfId="0" applyNumberFormat="1" applyFont="1" applyFill="1" applyBorder="1" applyAlignment="1">
      <alignment horizontal="center" vertical="center"/>
    </xf>
    <xf numFmtId="4" fontId="5" fillId="3" borderId="11" xfId="0" applyNumberFormat="1" applyFont="1" applyFill="1" applyBorder="1" applyAlignment="1">
      <alignment horizontal="center" vertical="center"/>
    </xf>
    <xf numFmtId="0" fontId="8" fillId="0" borderId="3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42" xfId="0" applyBorder="1"/>
    <xf numFmtId="0" fontId="9" fillId="12" borderId="43" xfId="0" applyFont="1" applyFill="1" applyBorder="1" applyAlignment="1">
      <alignment horizontal="center" vertical="center"/>
    </xf>
    <xf numFmtId="0" fontId="9" fillId="12" borderId="35" xfId="0" applyFont="1" applyFill="1" applyBorder="1" applyAlignment="1">
      <alignment horizontal="center" vertical="center"/>
    </xf>
    <xf numFmtId="0" fontId="9" fillId="12" borderId="7" xfId="0" applyFont="1" applyFill="1" applyBorder="1" applyAlignment="1">
      <alignment horizontal="center" vertical="center"/>
    </xf>
    <xf numFmtId="0" fontId="9" fillId="12" borderId="47" xfId="0" applyFont="1" applyFill="1" applyBorder="1" applyAlignment="1">
      <alignment horizontal="center" vertical="center"/>
    </xf>
    <xf numFmtId="0" fontId="9" fillId="12" borderId="46" xfId="0" applyFont="1" applyFill="1" applyBorder="1" applyAlignment="1">
      <alignment horizontal="center" vertical="center"/>
    </xf>
    <xf numFmtId="0" fontId="9" fillId="10" borderId="47" xfId="0" applyFont="1" applyFill="1" applyBorder="1" applyAlignment="1">
      <alignment horizontal="center" vertical="center"/>
    </xf>
    <xf numFmtId="0" fontId="9" fillId="10" borderId="46" xfId="0" applyFont="1" applyFill="1" applyBorder="1" applyAlignment="1">
      <alignment horizontal="center" vertical="center"/>
    </xf>
    <xf numFmtId="0" fontId="9" fillId="11" borderId="47" xfId="0" applyFont="1" applyFill="1" applyBorder="1" applyAlignment="1">
      <alignment horizontal="center" vertical="center"/>
    </xf>
    <xf numFmtId="0" fontId="9" fillId="11" borderId="46" xfId="0" applyFont="1" applyFill="1" applyBorder="1" applyAlignment="1">
      <alignment horizontal="center" vertical="center"/>
    </xf>
    <xf numFmtId="0" fontId="9" fillId="11" borderId="5" xfId="0" applyFont="1" applyFill="1" applyBorder="1" applyAlignment="1">
      <alignment horizontal="center" vertical="center"/>
    </xf>
    <xf numFmtId="0" fontId="9" fillId="10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4"/>
  <sheetViews>
    <sheetView tabSelected="1" topLeftCell="K1" zoomScale="145" zoomScaleNormal="145" workbookViewId="0">
      <selection activeCell="S14" sqref="A1:S14"/>
    </sheetView>
  </sheetViews>
  <sheetFormatPr defaultRowHeight="12.75" x14ac:dyDescent="0.2"/>
  <cols>
    <col min="1" max="1" width="10.7109375" customWidth="1"/>
    <col min="2" max="2" width="25.7109375" customWidth="1"/>
    <col min="3" max="9" width="10.7109375" customWidth="1"/>
    <col min="10" max="10" width="10.7109375" style="169" customWidth="1"/>
    <col min="11" max="12" width="10.7109375" customWidth="1"/>
    <col min="13" max="14" width="8.7109375" customWidth="1"/>
    <col min="15" max="15" width="10.7109375" customWidth="1"/>
    <col min="16" max="19" width="13.7109375" customWidth="1"/>
  </cols>
  <sheetData>
    <row r="1" spans="1:19" s="1" customFormat="1" ht="57" thickBot="1" x14ac:dyDescent="0.25">
      <c r="A1" s="230" t="s">
        <v>870</v>
      </c>
      <c r="B1" s="231" t="s">
        <v>878</v>
      </c>
      <c r="C1" s="241" t="s">
        <v>880</v>
      </c>
      <c r="D1" s="236" t="s">
        <v>879</v>
      </c>
      <c r="E1" s="230" t="s">
        <v>881</v>
      </c>
      <c r="F1" s="230" t="s">
        <v>883</v>
      </c>
      <c r="G1" s="231" t="s">
        <v>892</v>
      </c>
      <c r="H1" s="230" t="s">
        <v>882</v>
      </c>
      <c r="I1" s="231" t="s">
        <v>872</v>
      </c>
      <c r="J1" s="241" t="s">
        <v>891</v>
      </c>
      <c r="K1" s="236" t="s">
        <v>884</v>
      </c>
      <c r="L1" s="230" t="s">
        <v>885</v>
      </c>
      <c r="M1" s="230" t="s">
        <v>871</v>
      </c>
      <c r="N1" s="231" t="s">
        <v>865</v>
      </c>
      <c r="O1" s="241" t="s">
        <v>886</v>
      </c>
      <c r="P1" s="236" t="s">
        <v>889</v>
      </c>
      <c r="Q1" s="230" t="s">
        <v>887</v>
      </c>
      <c r="R1" s="230" t="s">
        <v>888</v>
      </c>
      <c r="S1" s="231" t="s">
        <v>890</v>
      </c>
    </row>
    <row r="2" spans="1:19" s="1" customFormat="1" x14ac:dyDescent="0.2">
      <c r="A2" s="173" t="s">
        <v>4</v>
      </c>
      <c r="B2" s="174"/>
      <c r="C2" s="242">
        <f>SUM('stato vigente e di progetto'!I5:I28)</f>
        <v>47269</v>
      </c>
      <c r="D2" s="237">
        <v>0.95</v>
      </c>
      <c r="E2" s="232">
        <f>C2*D2</f>
        <v>44905.549999999996</v>
      </c>
      <c r="F2" s="180">
        <v>147</v>
      </c>
      <c r="G2" s="181">
        <f>E2/F2</f>
        <v>305.47993197278907</v>
      </c>
      <c r="H2" s="210">
        <f>(C2)*(1-D2)</f>
        <v>2363.4500000000021</v>
      </c>
      <c r="I2" s="248">
        <f>H2/G2</f>
        <v>7.7368421052631655</v>
      </c>
      <c r="J2" s="252">
        <v>300</v>
      </c>
      <c r="K2" s="172">
        <v>0</v>
      </c>
      <c r="L2" s="211">
        <f t="shared" ref="L2:L9" si="0">C2+K2</f>
        <v>47269</v>
      </c>
      <c r="M2" s="212">
        <f t="shared" ref="M2:M9" si="1">K2/J2</f>
        <v>0</v>
      </c>
      <c r="N2" s="257">
        <f t="shared" ref="N2:N11" si="2">M2+I2+F2</f>
        <v>154.73684210526318</v>
      </c>
      <c r="O2" s="260"/>
      <c r="P2" s="210">
        <f>K2*O2</f>
        <v>0</v>
      </c>
      <c r="Q2" s="211">
        <f>C2+P2</f>
        <v>47269</v>
      </c>
      <c r="R2" s="213">
        <f>P2/J2</f>
        <v>0</v>
      </c>
      <c r="S2" s="214">
        <f>R2+I2+F2</f>
        <v>154.73684210526318</v>
      </c>
    </row>
    <row r="3" spans="1:19" s="1" customFormat="1" x14ac:dyDescent="0.2">
      <c r="A3" s="175" t="s">
        <v>5</v>
      </c>
      <c r="B3" s="176" t="s">
        <v>867</v>
      </c>
      <c r="C3" s="243">
        <f>SUM('stato vigente e di progetto'!I30:I72)</f>
        <v>133467</v>
      </c>
      <c r="D3" s="238">
        <v>0.95</v>
      </c>
      <c r="E3" s="233">
        <f>C3*D3</f>
        <v>126793.65</v>
      </c>
      <c r="F3" s="182">
        <v>621</v>
      </c>
      <c r="G3" s="183">
        <f>E3/F3</f>
        <v>204.17657004830917</v>
      </c>
      <c r="H3" s="172">
        <f t="shared" ref="H3:H12" si="3">(C3)*(1-D3)</f>
        <v>6673.3500000000058</v>
      </c>
      <c r="I3" s="249">
        <f t="shared" ref="I3:I12" si="4">H3/G3</f>
        <v>32.684210526315816</v>
      </c>
      <c r="J3" s="253">
        <v>225</v>
      </c>
      <c r="K3" s="172">
        <f>SUM('stato vigente e di progetto'!J30:J72)</f>
        <v>52605.193552791112</v>
      </c>
      <c r="L3" s="171">
        <f t="shared" si="0"/>
        <v>186072.19355279111</v>
      </c>
      <c r="M3" s="186">
        <f t="shared" si="1"/>
        <v>233.80086023462715</v>
      </c>
      <c r="N3" s="258">
        <f t="shared" si="2"/>
        <v>887.48507076094302</v>
      </c>
      <c r="O3" s="261">
        <v>0.5</v>
      </c>
      <c r="P3" s="172">
        <f>K3*O3</f>
        <v>26302.596776395556</v>
      </c>
      <c r="Q3" s="171">
        <f>C3+P3</f>
        <v>159769.59677639557</v>
      </c>
      <c r="R3" s="187">
        <f>P3/J3</f>
        <v>116.90043011731358</v>
      </c>
      <c r="S3" s="215">
        <f>R3+I3+F3</f>
        <v>770.58464064362943</v>
      </c>
    </row>
    <row r="4" spans="1:19" s="1" customFormat="1" x14ac:dyDescent="0.2">
      <c r="A4" s="177" t="s">
        <v>5</v>
      </c>
      <c r="B4" s="178" t="s">
        <v>868</v>
      </c>
      <c r="C4" s="243">
        <f>SUM('stato vigente e di progetto'!I73:I131)</f>
        <v>488621</v>
      </c>
      <c r="D4" s="238">
        <v>0.5</v>
      </c>
      <c r="E4" s="233">
        <f>C4*D4</f>
        <v>244310.5</v>
      </c>
      <c r="F4" s="182">
        <v>744</v>
      </c>
      <c r="G4" s="183">
        <f>E4/F4</f>
        <v>328.37432795698925</v>
      </c>
      <c r="H4" s="172">
        <f t="shared" si="3"/>
        <v>244310.5</v>
      </c>
      <c r="I4" s="249">
        <f t="shared" si="4"/>
        <v>744</v>
      </c>
      <c r="J4" s="253">
        <v>225</v>
      </c>
      <c r="K4" s="172">
        <f>SUM('stato vigente e di progetto'!J73:J131)</f>
        <v>33517.25099185307</v>
      </c>
      <c r="L4" s="172">
        <f t="shared" si="0"/>
        <v>522138.25099185307</v>
      </c>
      <c r="M4" s="186">
        <f t="shared" si="1"/>
        <v>148.96555996379143</v>
      </c>
      <c r="N4" s="258">
        <f t="shared" si="2"/>
        <v>1636.9655599637913</v>
      </c>
      <c r="O4" s="261">
        <v>0.8</v>
      </c>
      <c r="P4" s="172">
        <f t="shared" ref="P4:P12" si="5">K4*O4</f>
        <v>26813.800793482456</v>
      </c>
      <c r="Q4" s="171">
        <f t="shared" ref="Q4:Q12" si="6">C4+P4</f>
        <v>515434.80079348246</v>
      </c>
      <c r="R4" s="187">
        <f t="shared" ref="R4:R12" si="7">P4/J4</f>
        <v>119.17244797103314</v>
      </c>
      <c r="S4" s="215">
        <f t="shared" ref="S4:S12" si="8">R4+I4+F4</f>
        <v>1607.1724479710331</v>
      </c>
    </row>
    <row r="5" spans="1:19" s="1" customFormat="1" x14ac:dyDescent="0.2">
      <c r="A5" s="179" t="s">
        <v>863</v>
      </c>
      <c r="B5" s="176" t="s">
        <v>867</v>
      </c>
      <c r="C5" s="243">
        <f>SUM('stato vigente e di progetto'!I133)</f>
        <v>24910</v>
      </c>
      <c r="D5" s="238">
        <v>0.85</v>
      </c>
      <c r="E5" s="233">
        <f t="shared" ref="E5:E12" si="9">C5*D5</f>
        <v>21173.5</v>
      </c>
      <c r="F5" s="184">
        <v>162</v>
      </c>
      <c r="G5" s="183">
        <f>E5/F5</f>
        <v>130.70061728395061</v>
      </c>
      <c r="H5" s="172">
        <f t="shared" si="3"/>
        <v>3736.5000000000005</v>
      </c>
      <c r="I5" s="249">
        <f t="shared" si="4"/>
        <v>28.588235294117652</v>
      </c>
      <c r="J5" s="254">
        <v>175</v>
      </c>
      <c r="K5" s="172">
        <f>SUM('stato vigente e di progetto'!J133)</f>
        <v>20762.955310340003</v>
      </c>
      <c r="L5" s="172">
        <f t="shared" si="0"/>
        <v>45672.955310340003</v>
      </c>
      <c r="M5" s="186">
        <f t="shared" si="1"/>
        <v>118.64545891622859</v>
      </c>
      <c r="N5" s="258">
        <f t="shared" si="2"/>
        <v>309.23369421034624</v>
      </c>
      <c r="O5" s="261">
        <v>0.6</v>
      </c>
      <c r="P5" s="172">
        <f t="shared" si="5"/>
        <v>12457.773186204002</v>
      </c>
      <c r="Q5" s="171">
        <f t="shared" si="6"/>
        <v>37367.773186204002</v>
      </c>
      <c r="R5" s="187">
        <f t="shared" si="7"/>
        <v>71.187275349737149</v>
      </c>
      <c r="S5" s="215">
        <f t="shared" si="8"/>
        <v>261.77551064385477</v>
      </c>
    </row>
    <row r="6" spans="1:19" s="1" customFormat="1" x14ac:dyDescent="0.2">
      <c r="A6" s="179" t="s">
        <v>863</v>
      </c>
      <c r="B6" s="178" t="s">
        <v>868</v>
      </c>
      <c r="C6" s="243">
        <f>SUM('stato vigente e di progetto'!I134:I146)</f>
        <v>305269</v>
      </c>
      <c r="D6" s="238">
        <v>0.4</v>
      </c>
      <c r="E6" s="233">
        <f t="shared" si="9"/>
        <v>122107.6</v>
      </c>
      <c r="F6" s="184">
        <v>487</v>
      </c>
      <c r="G6" s="183">
        <f>E6/F6</f>
        <v>250.73429158110883</v>
      </c>
      <c r="H6" s="172">
        <f t="shared" si="3"/>
        <v>183161.4</v>
      </c>
      <c r="I6" s="249">
        <f t="shared" si="4"/>
        <v>730.5</v>
      </c>
      <c r="J6" s="254">
        <v>175</v>
      </c>
      <c r="K6" s="172">
        <f>SUM('stato vigente e di progetto'!J134:J146)</f>
        <v>20589.880774999998</v>
      </c>
      <c r="L6" s="172">
        <f t="shared" si="0"/>
        <v>325858.88077499997</v>
      </c>
      <c r="M6" s="186">
        <f t="shared" si="1"/>
        <v>117.65646157142857</v>
      </c>
      <c r="N6" s="258">
        <f t="shared" si="2"/>
        <v>1335.1564615714285</v>
      </c>
      <c r="O6" s="261">
        <v>0.9</v>
      </c>
      <c r="P6" s="172">
        <f t="shared" si="5"/>
        <v>18530.892697499999</v>
      </c>
      <c r="Q6" s="171">
        <f t="shared" si="6"/>
        <v>323799.89269750001</v>
      </c>
      <c r="R6" s="187">
        <f t="shared" si="7"/>
        <v>105.89081541428571</v>
      </c>
      <c r="S6" s="215">
        <f t="shared" si="8"/>
        <v>1323.3908154142857</v>
      </c>
    </row>
    <row r="7" spans="1:19" s="1" customFormat="1" x14ac:dyDescent="0.2">
      <c r="A7" s="177" t="s">
        <v>206</v>
      </c>
      <c r="B7" s="176" t="s">
        <v>867</v>
      </c>
      <c r="C7" s="243"/>
      <c r="D7" s="238"/>
      <c r="E7" s="233"/>
      <c r="F7" s="184"/>
      <c r="G7" s="183"/>
      <c r="H7" s="172"/>
      <c r="I7" s="249"/>
      <c r="J7" s="254">
        <v>150</v>
      </c>
      <c r="K7" s="172">
        <f>SUM('stato vigente e di progetto'!J155:J156,'stato vigente e di progetto'!J163:J179)</f>
        <v>69777.760000000009</v>
      </c>
      <c r="L7" s="172">
        <f t="shared" ref="L7" si="10">C7+K7</f>
        <v>69777.760000000009</v>
      </c>
      <c r="M7" s="186">
        <f t="shared" ref="M7" si="11">K7/J7</f>
        <v>465.18506666666673</v>
      </c>
      <c r="N7" s="258">
        <f t="shared" ref="N7" si="12">M7+I7+F7</f>
        <v>465.18506666666673</v>
      </c>
      <c r="O7" s="261">
        <v>0.8</v>
      </c>
      <c r="P7" s="172">
        <f t="shared" ref="P7" si="13">K7*O7</f>
        <v>55822.208000000013</v>
      </c>
      <c r="Q7" s="171">
        <f t="shared" ref="Q7" si="14">C7+P7</f>
        <v>55822.208000000013</v>
      </c>
      <c r="R7" s="187">
        <f t="shared" ref="R7" si="15">P7/J7</f>
        <v>372.14805333333339</v>
      </c>
      <c r="S7" s="215">
        <f t="shared" ref="S7" si="16">R7+I7+F7</f>
        <v>372.14805333333339</v>
      </c>
    </row>
    <row r="8" spans="1:19" s="1" customFormat="1" x14ac:dyDescent="0.2">
      <c r="A8" s="177" t="s">
        <v>206</v>
      </c>
      <c r="B8" s="176" t="s">
        <v>868</v>
      </c>
      <c r="C8" s="243"/>
      <c r="D8" s="238"/>
      <c r="E8" s="233"/>
      <c r="F8" s="184"/>
      <c r="G8" s="183"/>
      <c r="H8" s="172"/>
      <c r="I8" s="249"/>
      <c r="J8" s="254">
        <v>150</v>
      </c>
      <c r="K8" s="172">
        <f>SUM('stato vigente e di progetto'!J147:J154,'stato vigente e di progetto'!J157:J162)</f>
        <v>113154.41443491381</v>
      </c>
      <c r="L8" s="172">
        <f t="shared" si="0"/>
        <v>113154.41443491381</v>
      </c>
      <c r="M8" s="186">
        <f t="shared" si="1"/>
        <v>754.36276289942543</v>
      </c>
      <c r="N8" s="258">
        <f t="shared" si="2"/>
        <v>754.36276289942543</v>
      </c>
      <c r="O8" s="261">
        <v>0.8</v>
      </c>
      <c r="P8" s="172">
        <f t="shared" si="5"/>
        <v>90523.531547931052</v>
      </c>
      <c r="Q8" s="171">
        <f t="shared" si="6"/>
        <v>90523.531547931052</v>
      </c>
      <c r="R8" s="187">
        <f t="shared" si="7"/>
        <v>603.49021031954032</v>
      </c>
      <c r="S8" s="215">
        <f t="shared" si="8"/>
        <v>603.49021031954032</v>
      </c>
    </row>
    <row r="9" spans="1:19" s="1" customFormat="1" x14ac:dyDescent="0.2">
      <c r="A9" s="177" t="s">
        <v>779</v>
      </c>
      <c r="B9" s="176" t="s">
        <v>867</v>
      </c>
      <c r="C9" s="243">
        <f>SUM('stato vigente e di progetto'!I180:I828)</f>
        <v>285954</v>
      </c>
      <c r="D9" s="238">
        <v>0.8</v>
      </c>
      <c r="E9" s="233">
        <f t="shared" si="9"/>
        <v>228763.2</v>
      </c>
      <c r="F9" s="182">
        <v>1235</v>
      </c>
      <c r="G9" s="183">
        <f>E9/F9</f>
        <v>185.23336032388664</v>
      </c>
      <c r="H9" s="172">
        <f t="shared" si="3"/>
        <v>57190.799999999988</v>
      </c>
      <c r="I9" s="249">
        <f t="shared" si="4"/>
        <v>308.74999999999994</v>
      </c>
      <c r="J9" s="253">
        <v>200</v>
      </c>
      <c r="K9" s="172">
        <f>SUM('stato vigente e di progetto'!J180:J828)</f>
        <v>135886</v>
      </c>
      <c r="L9" s="172">
        <f t="shared" si="0"/>
        <v>421840</v>
      </c>
      <c r="M9" s="186">
        <f t="shared" si="1"/>
        <v>679.43</v>
      </c>
      <c r="N9" s="258">
        <f t="shared" si="2"/>
        <v>2223.1799999999998</v>
      </c>
      <c r="O9" s="261">
        <v>0.5</v>
      </c>
      <c r="P9" s="172">
        <f t="shared" si="5"/>
        <v>67943</v>
      </c>
      <c r="Q9" s="171">
        <f t="shared" si="6"/>
        <v>353897</v>
      </c>
      <c r="R9" s="187">
        <f t="shared" si="7"/>
        <v>339.71499999999997</v>
      </c>
      <c r="S9" s="215">
        <f t="shared" si="8"/>
        <v>1883.4649999999999</v>
      </c>
    </row>
    <row r="10" spans="1:19" s="1" customFormat="1" hidden="1" x14ac:dyDescent="0.2">
      <c r="A10" s="177" t="s">
        <v>8</v>
      </c>
      <c r="B10" s="178" t="s">
        <v>869</v>
      </c>
      <c r="C10" s="243"/>
      <c r="D10" s="238"/>
      <c r="E10" s="233">
        <f t="shared" si="9"/>
        <v>0</v>
      </c>
      <c r="F10" s="185"/>
      <c r="G10" s="183"/>
      <c r="H10" s="172"/>
      <c r="I10" s="249"/>
      <c r="J10" s="253"/>
      <c r="K10" s="172"/>
      <c r="L10" s="172"/>
      <c r="M10" s="186"/>
      <c r="N10" s="258"/>
      <c r="O10" s="261"/>
      <c r="P10" s="172"/>
      <c r="Q10" s="171"/>
      <c r="R10" s="187"/>
      <c r="S10" s="215"/>
    </row>
    <row r="11" spans="1:19" s="1" customFormat="1" x14ac:dyDescent="0.2">
      <c r="A11" s="188" t="s">
        <v>9</v>
      </c>
      <c r="B11" s="208" t="s">
        <v>874</v>
      </c>
      <c r="C11" s="243">
        <v>563</v>
      </c>
      <c r="D11" s="238"/>
      <c r="E11" s="233"/>
      <c r="F11" s="185"/>
      <c r="G11" s="183">
        <v>60</v>
      </c>
      <c r="H11" s="172">
        <f t="shared" si="3"/>
        <v>563</v>
      </c>
      <c r="I11" s="249">
        <f t="shared" si="4"/>
        <v>9.3833333333333329</v>
      </c>
      <c r="J11" s="253">
        <v>90</v>
      </c>
      <c r="K11" s="172">
        <f>25500+2185</f>
        <v>27685</v>
      </c>
      <c r="L11" s="172">
        <f>C11+K11</f>
        <v>28248</v>
      </c>
      <c r="M11" s="186">
        <f>K11/J11</f>
        <v>307.61111111111109</v>
      </c>
      <c r="N11" s="258">
        <f t="shared" si="2"/>
        <v>316.99444444444441</v>
      </c>
      <c r="O11" s="261">
        <v>1</v>
      </c>
      <c r="P11" s="172">
        <f>K11*O11</f>
        <v>27685</v>
      </c>
      <c r="Q11" s="171">
        <f t="shared" si="6"/>
        <v>28248</v>
      </c>
      <c r="R11" s="187">
        <f t="shared" si="7"/>
        <v>307.61111111111109</v>
      </c>
      <c r="S11" s="215">
        <f t="shared" si="8"/>
        <v>316.99444444444441</v>
      </c>
    </row>
    <row r="12" spans="1:19" s="1" customFormat="1" ht="13.5" thickBot="1" x14ac:dyDescent="0.25">
      <c r="A12" s="188" t="s">
        <v>9</v>
      </c>
      <c r="B12" s="208" t="s">
        <v>875</v>
      </c>
      <c r="C12" s="244">
        <f>SUM('stato vigente e di progetto'!I848:I863)-C11</f>
        <v>107575.98</v>
      </c>
      <c r="D12" s="239">
        <v>1.2762000000000001E-2</v>
      </c>
      <c r="E12" s="234">
        <f t="shared" si="9"/>
        <v>1372.8846567600001</v>
      </c>
      <c r="F12" s="217">
        <v>23</v>
      </c>
      <c r="G12" s="218">
        <f>E12/F12</f>
        <v>59.69063725043479</v>
      </c>
      <c r="H12" s="216">
        <f t="shared" si="3"/>
        <v>106203.09534323998</v>
      </c>
      <c r="I12" s="250">
        <f t="shared" si="4"/>
        <v>1779.2253565271897</v>
      </c>
      <c r="J12" s="255">
        <v>60</v>
      </c>
      <c r="K12" s="172">
        <f>(48950-14000)+27133</f>
        <v>62083</v>
      </c>
      <c r="L12" s="172">
        <f>C12+K12</f>
        <v>169658.97999999998</v>
      </c>
      <c r="M12" s="220">
        <f>K12/J12</f>
        <v>1034.7166666666667</v>
      </c>
      <c r="N12" s="259">
        <f>M12+I12+F12</f>
        <v>2836.9420231938566</v>
      </c>
      <c r="O12" s="262">
        <v>1</v>
      </c>
      <c r="P12" s="216">
        <f t="shared" si="5"/>
        <v>62083</v>
      </c>
      <c r="Q12" s="219">
        <f t="shared" si="6"/>
        <v>169658.97999999998</v>
      </c>
      <c r="R12" s="221">
        <f t="shared" si="7"/>
        <v>1034.7166666666667</v>
      </c>
      <c r="S12" s="222">
        <f t="shared" si="8"/>
        <v>2836.9420231938566</v>
      </c>
    </row>
    <row r="13" spans="1:19" s="17" customFormat="1" ht="13.5" thickBot="1" x14ac:dyDescent="0.25">
      <c r="A13" s="246"/>
      <c r="B13" s="247" t="s">
        <v>864</v>
      </c>
      <c r="C13" s="245">
        <f>SUM(C2:C12)</f>
        <v>1393628.98</v>
      </c>
      <c r="D13" s="240"/>
      <c r="E13" s="235">
        <f t="shared" ref="E13:I13" si="17">SUM(E2:E12)</f>
        <v>789426.88465676003</v>
      </c>
      <c r="F13" s="224">
        <f t="shared" si="17"/>
        <v>3419</v>
      </c>
      <c r="G13" s="225"/>
      <c r="H13" s="229">
        <f>SUM(H2:H12)</f>
        <v>604202.09534323995</v>
      </c>
      <c r="I13" s="251">
        <f t="shared" si="17"/>
        <v>3640.8679777862199</v>
      </c>
      <c r="J13" s="256"/>
      <c r="K13" s="229">
        <f>SUM(K2:K12)</f>
        <v>536061.45506489801</v>
      </c>
      <c r="L13" s="223">
        <f>SUM(L2:L12)</f>
        <v>1929690.4350648979</v>
      </c>
      <c r="M13" s="226">
        <f>SUM(M2:M12)</f>
        <v>3860.373948029946</v>
      </c>
      <c r="N13" s="228">
        <f t="shared" ref="N13" si="18">SUM(N2:N12)</f>
        <v>10920.241925816164</v>
      </c>
      <c r="O13" s="263"/>
      <c r="P13" s="229">
        <f>SUM(P2:P12)</f>
        <v>388161.80300151312</v>
      </c>
      <c r="Q13" s="223">
        <f>SUM(Q2:Q12)</f>
        <v>1781790.7830015132</v>
      </c>
      <c r="R13" s="227">
        <f>SUM(R2:R12)</f>
        <v>3070.8320102830212</v>
      </c>
      <c r="S13" s="228">
        <f>SUM(S2:S12)</f>
        <v>10130.699988069242</v>
      </c>
    </row>
    <row r="14" spans="1:19" s="1" customFormat="1" x14ac:dyDescent="0.2">
      <c r="B14" s="9"/>
      <c r="C14" s="7"/>
      <c r="D14" s="7"/>
      <c r="E14" s="7"/>
      <c r="F14" s="7"/>
      <c r="G14" s="7"/>
      <c r="H14" s="7"/>
      <c r="I14" s="7"/>
      <c r="J14" s="170"/>
      <c r="K14" s="7"/>
      <c r="L14" s="7"/>
      <c r="M14" s="7"/>
      <c r="N14" s="7"/>
      <c r="O14" s="7"/>
      <c r="P14" s="7"/>
      <c r="Q14" s="7"/>
      <c r="R14" s="7"/>
      <c r="S14" s="7"/>
    </row>
  </sheetData>
  <printOptions horizontalCentered="1"/>
  <pageMargins left="0.70866141732283472" right="0.70866141732283472" top="4.2913385826771657" bottom="0.74803149606299213" header="0.31496062992125984" footer="0.31496062992125984"/>
  <pageSetup paperSize="8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38"/>
  <sheetViews>
    <sheetView zoomScale="40" zoomScaleNormal="4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U938" sqref="A1:W938"/>
    </sheetView>
  </sheetViews>
  <sheetFormatPr defaultColWidth="9.140625" defaultRowHeight="12.75" outlineLevelCol="1" x14ac:dyDescent="0.2"/>
  <cols>
    <col min="1" max="1" width="11.140625" style="1" customWidth="1"/>
    <col min="2" max="2" width="12.28515625" style="1" bestFit="1" customWidth="1"/>
    <col min="3" max="3" width="11.28515625" style="1" customWidth="1"/>
    <col min="4" max="4" width="38.85546875" style="9" customWidth="1"/>
    <col min="5" max="5" width="17.5703125" style="200" customWidth="1"/>
    <col min="6" max="6" width="13.140625" style="7" bestFit="1" customWidth="1"/>
    <col min="7" max="7" width="16.85546875" style="189" customWidth="1"/>
    <col min="8" max="8" width="18.7109375" style="41" customWidth="1"/>
    <col min="9" max="9" width="14" style="7" customWidth="1"/>
    <col min="10" max="10" width="16.7109375" style="7" bestFit="1" customWidth="1"/>
    <col min="11" max="11" width="22.28515625" style="7" customWidth="1"/>
    <col min="12" max="12" width="10.42578125" style="7" customWidth="1"/>
    <col min="13" max="13" width="28.7109375" style="1" customWidth="1"/>
    <col min="14" max="14" width="13.42578125" style="1" customWidth="1"/>
    <col min="15" max="15" width="11.7109375" style="1" customWidth="1"/>
    <col min="16" max="16" width="45.140625" style="1" customWidth="1"/>
    <col min="17" max="17" width="15.28515625" style="1" customWidth="1"/>
    <col min="18" max="18" width="48.28515625" style="1" customWidth="1"/>
    <col min="19" max="21" width="11.7109375" style="1" customWidth="1"/>
    <col min="22" max="22" width="19.85546875" style="1" hidden="1" customWidth="1" outlineLevel="1"/>
    <col min="23" max="23" width="32.85546875" style="1" hidden="1" customWidth="1" outlineLevel="1"/>
    <col min="24" max="24" width="9.140625" style="1" collapsed="1"/>
    <col min="25" max="16384" width="9.140625" style="1"/>
  </cols>
  <sheetData>
    <row r="1" spans="1:23" ht="13.5" thickBot="1" x14ac:dyDescent="0.25">
      <c r="A1" s="12"/>
    </row>
    <row r="2" spans="1:23" ht="16.5" thickBot="1" x14ac:dyDescent="0.25">
      <c r="A2" s="308" t="s">
        <v>66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10"/>
    </row>
    <row r="3" spans="1:23" s="26" customFormat="1" ht="13.5" thickBot="1" x14ac:dyDescent="0.25">
      <c r="A3" s="325" t="s">
        <v>0</v>
      </c>
      <c r="B3" s="314" t="s">
        <v>28</v>
      </c>
      <c r="C3" s="314" t="s">
        <v>29</v>
      </c>
      <c r="D3" s="316" t="s">
        <v>36</v>
      </c>
      <c r="E3" s="323" t="s">
        <v>14</v>
      </c>
      <c r="F3" s="324"/>
      <c r="G3" s="321" t="s">
        <v>16</v>
      </c>
      <c r="H3" s="322"/>
      <c r="I3" s="318" t="s">
        <v>15</v>
      </c>
      <c r="J3" s="319"/>
      <c r="K3" s="320"/>
      <c r="L3" s="168"/>
      <c r="M3" s="311" t="s">
        <v>35</v>
      </c>
      <c r="N3" s="312"/>
      <c r="O3" s="312"/>
      <c r="P3" s="312"/>
      <c r="Q3" s="312"/>
      <c r="R3" s="312"/>
      <c r="S3" s="312"/>
      <c r="T3" s="312"/>
      <c r="U3" s="312"/>
      <c r="V3" s="312"/>
      <c r="W3" s="313"/>
    </row>
    <row r="4" spans="1:23" s="23" customFormat="1" ht="76.150000000000006" customHeight="1" thickBot="1" x14ac:dyDescent="0.25">
      <c r="A4" s="326"/>
      <c r="B4" s="315"/>
      <c r="C4" s="315"/>
      <c r="D4" s="317"/>
      <c r="E4" s="201" t="s">
        <v>1</v>
      </c>
      <c r="F4" s="27" t="s">
        <v>2</v>
      </c>
      <c r="G4" s="190" t="s">
        <v>1</v>
      </c>
      <c r="H4" s="42" t="s">
        <v>3</v>
      </c>
      <c r="I4" s="32" t="s">
        <v>55</v>
      </c>
      <c r="J4" s="28" t="s">
        <v>31</v>
      </c>
      <c r="K4" s="29" t="s">
        <v>30</v>
      </c>
      <c r="L4" s="29" t="s">
        <v>866</v>
      </c>
      <c r="M4" s="30" t="s">
        <v>13</v>
      </c>
      <c r="N4" s="31" t="s">
        <v>862</v>
      </c>
      <c r="O4" s="31" t="s">
        <v>58</v>
      </c>
      <c r="P4" s="35" t="s">
        <v>61</v>
      </c>
      <c r="Q4" s="35" t="s">
        <v>34</v>
      </c>
      <c r="R4" s="35" t="s">
        <v>62</v>
      </c>
      <c r="S4" s="35" t="s">
        <v>63</v>
      </c>
      <c r="T4" s="35" t="s">
        <v>64</v>
      </c>
      <c r="U4" s="35" t="s">
        <v>65</v>
      </c>
      <c r="V4" s="33" t="s">
        <v>59</v>
      </c>
      <c r="W4" s="34" t="s">
        <v>60</v>
      </c>
    </row>
    <row r="5" spans="1:23" x14ac:dyDescent="0.2">
      <c r="A5" s="330" t="s">
        <v>4</v>
      </c>
      <c r="B5" s="98" t="s">
        <v>67</v>
      </c>
      <c r="C5" s="97" t="s">
        <v>588</v>
      </c>
      <c r="D5" s="97" t="s">
        <v>611</v>
      </c>
      <c r="E5" s="202"/>
      <c r="F5" s="36">
        <v>5375.9</v>
      </c>
      <c r="G5" s="191"/>
      <c r="H5" s="43">
        <f>I5/F5</f>
        <v>0.44643687568593171</v>
      </c>
      <c r="I5" s="36">
        <v>2400</v>
      </c>
      <c r="J5" s="37">
        <f t="shared" ref="J5:J28" si="0">K5-I5</f>
        <v>0</v>
      </c>
      <c r="K5" s="39">
        <f t="shared" ref="K5:K28" si="1">F5*H5</f>
        <v>2400</v>
      </c>
      <c r="L5" s="38">
        <v>8</v>
      </c>
      <c r="M5" s="24"/>
      <c r="N5" s="24"/>
      <c r="O5" s="24"/>
      <c r="P5" s="24"/>
      <c r="Q5" s="24"/>
      <c r="R5" s="24"/>
      <c r="S5" s="24"/>
      <c r="T5" s="24"/>
      <c r="U5" s="24"/>
      <c r="V5" s="24"/>
      <c r="W5" s="25"/>
    </row>
    <row r="6" spans="1:23" x14ac:dyDescent="0.2">
      <c r="A6" s="331"/>
      <c r="B6" s="66" t="s">
        <v>68</v>
      </c>
      <c r="C6" s="97" t="s">
        <v>589</v>
      </c>
      <c r="D6" s="97" t="s">
        <v>587</v>
      </c>
      <c r="E6" s="202"/>
      <c r="F6" s="36">
        <v>5079.87</v>
      </c>
      <c r="G6" s="191"/>
      <c r="H6" s="43">
        <f t="shared" ref="H6:H27" si="2">I6/F6</f>
        <v>0.68899400968922431</v>
      </c>
      <c r="I6" s="36">
        <v>3500</v>
      </c>
      <c r="J6" s="37">
        <f t="shared" si="0"/>
        <v>0</v>
      </c>
      <c r="K6" s="39">
        <f t="shared" si="1"/>
        <v>3500</v>
      </c>
      <c r="L6" s="38">
        <v>12</v>
      </c>
      <c r="M6" s="24"/>
      <c r="N6" s="24"/>
      <c r="O6" s="24"/>
      <c r="P6" s="24"/>
      <c r="Q6" s="24"/>
      <c r="R6" s="24"/>
      <c r="S6" s="24"/>
      <c r="T6" s="24"/>
      <c r="U6" s="24"/>
      <c r="V6" s="24"/>
      <c r="W6" s="25"/>
    </row>
    <row r="7" spans="1:23" x14ac:dyDescent="0.2">
      <c r="A7" s="331"/>
      <c r="B7" s="66" t="s">
        <v>67</v>
      </c>
      <c r="C7" s="97" t="s">
        <v>590</v>
      </c>
      <c r="D7" s="97" t="s">
        <v>612</v>
      </c>
      <c r="E7" s="202"/>
      <c r="F7" s="36">
        <v>6816.95</v>
      </c>
      <c r="G7" s="191"/>
      <c r="H7" s="43">
        <f t="shared" si="2"/>
        <v>0.39607155692795165</v>
      </c>
      <c r="I7" s="36">
        <v>2700</v>
      </c>
      <c r="J7" s="37">
        <f t="shared" si="0"/>
        <v>0</v>
      </c>
      <c r="K7" s="39">
        <f t="shared" si="1"/>
        <v>2700</v>
      </c>
      <c r="L7" s="38">
        <v>4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5"/>
    </row>
    <row r="8" spans="1:23" x14ac:dyDescent="0.2">
      <c r="A8" s="331"/>
      <c r="B8" s="66" t="s">
        <v>67</v>
      </c>
      <c r="C8" s="97" t="s">
        <v>591</v>
      </c>
      <c r="D8" s="97" t="s">
        <v>613</v>
      </c>
      <c r="E8" s="202"/>
      <c r="F8" s="36">
        <v>9790.6062399999992</v>
      </c>
      <c r="G8" s="191"/>
      <c r="H8" s="43">
        <f t="shared" si="2"/>
        <v>0.29487448777227099</v>
      </c>
      <c r="I8" s="36">
        <v>2887</v>
      </c>
      <c r="J8" s="37">
        <f t="shared" si="0"/>
        <v>0</v>
      </c>
      <c r="K8" s="39">
        <f t="shared" si="1"/>
        <v>2887</v>
      </c>
      <c r="L8" s="38">
        <v>12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25"/>
    </row>
    <row r="9" spans="1:23" x14ac:dyDescent="0.2">
      <c r="A9" s="331"/>
      <c r="B9" s="66" t="s">
        <v>844</v>
      </c>
      <c r="C9" s="97" t="s">
        <v>592</v>
      </c>
      <c r="D9" s="97" t="s">
        <v>614</v>
      </c>
      <c r="E9" s="202"/>
      <c r="F9" s="36">
        <v>1958.6461360000001</v>
      </c>
      <c r="G9" s="191"/>
      <c r="H9" s="43">
        <f t="shared" si="2"/>
        <v>0.71886389997708089</v>
      </c>
      <c r="I9" s="36">
        <v>1408</v>
      </c>
      <c r="J9" s="37">
        <f t="shared" si="0"/>
        <v>0</v>
      </c>
      <c r="K9" s="39">
        <f t="shared" si="1"/>
        <v>1408</v>
      </c>
      <c r="L9" s="38">
        <v>1</v>
      </c>
      <c r="M9" s="24"/>
      <c r="N9" s="24"/>
      <c r="O9" s="24"/>
      <c r="P9" s="24"/>
      <c r="Q9" s="24"/>
      <c r="R9" s="24"/>
      <c r="S9" s="24"/>
      <c r="T9" s="24"/>
      <c r="U9" s="24"/>
      <c r="V9" s="24"/>
      <c r="W9" s="25"/>
    </row>
    <row r="10" spans="1:23" x14ac:dyDescent="0.2">
      <c r="A10" s="331"/>
      <c r="B10" s="66" t="s">
        <v>67</v>
      </c>
      <c r="C10" s="97" t="s">
        <v>593</v>
      </c>
      <c r="D10" s="97" t="s">
        <v>613</v>
      </c>
      <c r="E10" s="202"/>
      <c r="F10" s="36">
        <v>1537.87</v>
      </c>
      <c r="G10" s="191"/>
      <c r="H10" s="43">
        <f t="shared" si="2"/>
        <v>0.39015001267987542</v>
      </c>
      <c r="I10" s="36">
        <v>600</v>
      </c>
      <c r="J10" s="37">
        <f t="shared" si="0"/>
        <v>0</v>
      </c>
      <c r="K10" s="39">
        <f t="shared" si="1"/>
        <v>600</v>
      </c>
      <c r="L10" s="38">
        <v>0</v>
      </c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5"/>
    </row>
    <row r="11" spans="1:23" x14ac:dyDescent="0.2">
      <c r="A11" s="331"/>
      <c r="B11" s="66" t="s">
        <v>67</v>
      </c>
      <c r="C11" s="97" t="s">
        <v>594</v>
      </c>
      <c r="D11" s="97" t="s">
        <v>613</v>
      </c>
      <c r="E11" s="202"/>
      <c r="F11" s="36">
        <v>6649.01</v>
      </c>
      <c r="G11" s="191"/>
      <c r="H11" s="43">
        <f t="shared" si="2"/>
        <v>0.2255974949654159</v>
      </c>
      <c r="I11" s="36">
        <v>1500</v>
      </c>
      <c r="J11" s="37">
        <f t="shared" si="0"/>
        <v>0</v>
      </c>
      <c r="K11" s="39">
        <f t="shared" si="1"/>
        <v>1500</v>
      </c>
      <c r="L11" s="38">
        <v>6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5"/>
    </row>
    <row r="12" spans="1:23" x14ac:dyDescent="0.2">
      <c r="A12" s="331"/>
      <c r="B12" s="66" t="s">
        <v>845</v>
      </c>
      <c r="C12" s="97" t="s">
        <v>595</v>
      </c>
      <c r="D12" s="97" t="s">
        <v>615</v>
      </c>
      <c r="E12" s="202"/>
      <c r="F12" s="36">
        <v>4176</v>
      </c>
      <c r="G12" s="191"/>
      <c r="H12" s="43">
        <v>0.45</v>
      </c>
      <c r="I12" s="36">
        <v>1879</v>
      </c>
      <c r="J12" s="37">
        <f t="shared" si="0"/>
        <v>0.20000000000004547</v>
      </c>
      <c r="K12" s="39">
        <f t="shared" si="1"/>
        <v>1879.2</v>
      </c>
      <c r="L12" s="38">
        <v>11</v>
      </c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5"/>
    </row>
    <row r="13" spans="1:23" x14ac:dyDescent="0.2">
      <c r="A13" s="331"/>
      <c r="B13" s="66" t="s">
        <v>845</v>
      </c>
      <c r="C13" s="97" t="s">
        <v>596</v>
      </c>
      <c r="D13" s="97" t="s">
        <v>616</v>
      </c>
      <c r="E13" s="202"/>
      <c r="F13" s="36">
        <v>1845.38</v>
      </c>
      <c r="G13" s="191"/>
      <c r="H13" s="43">
        <f t="shared" si="2"/>
        <v>0.38203513639467207</v>
      </c>
      <c r="I13" s="36">
        <v>705</v>
      </c>
      <c r="J13" s="37">
        <f t="shared" si="0"/>
        <v>0</v>
      </c>
      <c r="K13" s="39">
        <f t="shared" si="1"/>
        <v>705</v>
      </c>
      <c r="L13" s="38">
        <v>2</v>
      </c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5"/>
    </row>
    <row r="14" spans="1:23" x14ac:dyDescent="0.2">
      <c r="A14" s="331"/>
      <c r="B14" s="66" t="s">
        <v>67</v>
      </c>
      <c r="C14" s="97" t="s">
        <v>597</v>
      </c>
      <c r="D14" s="97" t="s">
        <v>616</v>
      </c>
      <c r="E14" s="202"/>
      <c r="F14" s="36">
        <v>3676.57</v>
      </c>
      <c r="G14" s="191"/>
      <c r="H14" s="43">
        <f t="shared" si="2"/>
        <v>0.46510742349526868</v>
      </c>
      <c r="I14" s="36">
        <v>1710</v>
      </c>
      <c r="J14" s="37">
        <f t="shared" si="0"/>
        <v>0</v>
      </c>
      <c r="K14" s="39">
        <f t="shared" si="1"/>
        <v>1710</v>
      </c>
      <c r="L14" s="38">
        <v>5</v>
      </c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5"/>
    </row>
    <row r="15" spans="1:23" x14ac:dyDescent="0.2">
      <c r="A15" s="331"/>
      <c r="B15" s="66" t="s">
        <v>845</v>
      </c>
      <c r="C15" s="97" t="s">
        <v>598</v>
      </c>
      <c r="D15" s="97" t="s">
        <v>616</v>
      </c>
      <c r="E15" s="202"/>
      <c r="F15" s="36">
        <v>5324.25</v>
      </c>
      <c r="G15" s="191"/>
      <c r="H15" s="43">
        <f t="shared" si="2"/>
        <v>0.45076771376250174</v>
      </c>
      <c r="I15" s="36">
        <v>2400</v>
      </c>
      <c r="J15" s="37">
        <f t="shared" si="0"/>
        <v>0</v>
      </c>
      <c r="K15" s="39">
        <f t="shared" si="1"/>
        <v>2400</v>
      </c>
      <c r="L15" s="38">
        <v>7</v>
      </c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5"/>
    </row>
    <row r="16" spans="1:23" ht="15" customHeight="1" x14ac:dyDescent="0.2">
      <c r="A16" s="331"/>
      <c r="B16" s="66" t="s">
        <v>845</v>
      </c>
      <c r="C16" s="97" t="s">
        <v>599</v>
      </c>
      <c r="D16" s="97" t="s">
        <v>616</v>
      </c>
      <c r="E16" s="202"/>
      <c r="F16" s="36">
        <v>2303.25</v>
      </c>
      <c r="G16" s="191"/>
      <c r="H16" s="43">
        <f t="shared" si="2"/>
        <v>0.56441984152827529</v>
      </c>
      <c r="I16" s="36">
        <v>1300</v>
      </c>
      <c r="J16" s="37">
        <f t="shared" si="0"/>
        <v>0</v>
      </c>
      <c r="K16" s="39">
        <f t="shared" si="1"/>
        <v>1300</v>
      </c>
      <c r="L16" s="38">
        <v>4</v>
      </c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5"/>
    </row>
    <row r="17" spans="1:24" ht="15" customHeight="1" x14ac:dyDescent="0.2">
      <c r="A17" s="331"/>
      <c r="B17" s="66" t="s">
        <v>68</v>
      </c>
      <c r="C17" s="97" t="s">
        <v>600</v>
      </c>
      <c r="D17" s="97" t="s">
        <v>616</v>
      </c>
      <c r="E17" s="202"/>
      <c r="F17" s="36">
        <v>1928.13</v>
      </c>
      <c r="G17" s="191"/>
      <c r="H17" s="43">
        <f t="shared" si="2"/>
        <v>1.0632063190759959</v>
      </c>
      <c r="I17" s="36">
        <v>2050</v>
      </c>
      <c r="J17" s="37">
        <f t="shared" si="0"/>
        <v>0</v>
      </c>
      <c r="K17" s="39">
        <f t="shared" si="1"/>
        <v>2050</v>
      </c>
      <c r="L17" s="38">
        <v>6</v>
      </c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5"/>
    </row>
    <row r="18" spans="1:24" ht="15" customHeight="1" x14ac:dyDescent="0.2">
      <c r="A18" s="331"/>
      <c r="B18" s="66" t="s">
        <v>68</v>
      </c>
      <c r="C18" s="97" t="s">
        <v>601</v>
      </c>
      <c r="D18" s="97" t="s">
        <v>616</v>
      </c>
      <c r="E18" s="202"/>
      <c r="F18" s="36">
        <v>690.89</v>
      </c>
      <c r="G18" s="191"/>
      <c r="H18" s="43">
        <f t="shared" si="2"/>
        <v>0.79607462837788945</v>
      </c>
      <c r="I18" s="36">
        <v>550</v>
      </c>
      <c r="J18" s="37">
        <f t="shared" si="0"/>
        <v>0</v>
      </c>
      <c r="K18" s="39">
        <f t="shared" si="1"/>
        <v>550</v>
      </c>
      <c r="L18" s="38">
        <v>1</v>
      </c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5"/>
    </row>
    <row r="19" spans="1:24" ht="15" customHeight="1" x14ac:dyDescent="0.2">
      <c r="A19" s="331"/>
      <c r="B19" s="66" t="s">
        <v>67</v>
      </c>
      <c r="C19" s="97" t="s">
        <v>602</v>
      </c>
      <c r="D19" s="97" t="s">
        <v>616</v>
      </c>
      <c r="E19" s="202"/>
      <c r="F19" s="36">
        <v>3237.65</v>
      </c>
      <c r="G19" s="191"/>
      <c r="H19" s="43">
        <f t="shared" si="2"/>
        <v>0.78760829614071937</v>
      </c>
      <c r="I19" s="36">
        <v>2550</v>
      </c>
      <c r="J19" s="37">
        <f t="shared" si="0"/>
        <v>0</v>
      </c>
      <c r="K19" s="39">
        <f t="shared" si="1"/>
        <v>2550</v>
      </c>
      <c r="L19" s="38">
        <v>2</v>
      </c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5"/>
    </row>
    <row r="20" spans="1:24" ht="15" customHeight="1" x14ac:dyDescent="0.2">
      <c r="A20" s="331"/>
      <c r="B20" s="66" t="s">
        <v>67</v>
      </c>
      <c r="C20" s="97" t="s">
        <v>603</v>
      </c>
      <c r="D20" s="97" t="s">
        <v>616</v>
      </c>
      <c r="E20" s="202"/>
      <c r="F20" s="36">
        <v>4792.2</v>
      </c>
      <c r="G20" s="191"/>
      <c r="H20" s="43">
        <f t="shared" si="2"/>
        <v>0.52397646175034429</v>
      </c>
      <c r="I20" s="36">
        <v>2511</v>
      </c>
      <c r="J20" s="37">
        <f t="shared" si="0"/>
        <v>0</v>
      </c>
      <c r="K20" s="39">
        <f t="shared" si="1"/>
        <v>2511</v>
      </c>
      <c r="L20" s="38">
        <v>8</v>
      </c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5"/>
    </row>
    <row r="21" spans="1:24" x14ac:dyDescent="0.2">
      <c r="A21" s="331"/>
      <c r="B21" s="66" t="s">
        <v>67</v>
      </c>
      <c r="C21" s="97" t="s">
        <v>604</v>
      </c>
      <c r="D21" s="97" t="s">
        <v>617</v>
      </c>
      <c r="E21" s="202"/>
      <c r="F21" s="36">
        <v>6932.88</v>
      </c>
      <c r="G21" s="191"/>
      <c r="H21" s="43">
        <f t="shared" si="2"/>
        <v>0.43502844416750325</v>
      </c>
      <c r="I21" s="36">
        <v>3016</v>
      </c>
      <c r="J21" s="37">
        <f t="shared" si="0"/>
        <v>0</v>
      </c>
      <c r="K21" s="39">
        <f t="shared" si="1"/>
        <v>3016</v>
      </c>
      <c r="L21" s="38">
        <v>20</v>
      </c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5"/>
    </row>
    <row r="22" spans="1:24" x14ac:dyDescent="0.2">
      <c r="A22" s="331"/>
      <c r="B22" s="66" t="s">
        <v>67</v>
      </c>
      <c r="C22" s="97" t="s">
        <v>605</v>
      </c>
      <c r="D22" s="97" t="s">
        <v>618</v>
      </c>
      <c r="E22" s="202"/>
      <c r="F22" s="36">
        <v>4420.28</v>
      </c>
      <c r="G22" s="191"/>
      <c r="H22" s="43">
        <f t="shared" si="2"/>
        <v>0.54702417041454388</v>
      </c>
      <c r="I22" s="36">
        <v>2418</v>
      </c>
      <c r="J22" s="37">
        <f t="shared" si="0"/>
        <v>0</v>
      </c>
      <c r="K22" s="39">
        <f t="shared" si="1"/>
        <v>2418</v>
      </c>
      <c r="L22" s="38">
        <v>10</v>
      </c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5"/>
    </row>
    <row r="23" spans="1:24" x14ac:dyDescent="0.2">
      <c r="A23" s="331"/>
      <c r="B23" s="66" t="s">
        <v>67</v>
      </c>
      <c r="C23" s="97" t="s">
        <v>606</v>
      </c>
      <c r="D23" s="97" t="s">
        <v>619</v>
      </c>
      <c r="E23" s="202"/>
      <c r="F23" s="36">
        <v>3079.734281</v>
      </c>
      <c r="G23" s="191"/>
      <c r="H23" s="43">
        <f t="shared" si="2"/>
        <v>0.47081983953796824</v>
      </c>
      <c r="I23" s="36">
        <v>1450</v>
      </c>
      <c r="J23" s="37">
        <f t="shared" si="0"/>
        <v>0</v>
      </c>
      <c r="K23" s="39">
        <f t="shared" si="1"/>
        <v>1450</v>
      </c>
      <c r="L23" s="38">
        <v>2</v>
      </c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5"/>
    </row>
    <row r="24" spans="1:24" x14ac:dyDescent="0.2">
      <c r="A24" s="331"/>
      <c r="B24" s="66" t="s">
        <v>67</v>
      </c>
      <c r="C24" s="97" t="s">
        <v>607</v>
      </c>
      <c r="D24" s="97" t="s">
        <v>619</v>
      </c>
      <c r="E24" s="202"/>
      <c r="F24" s="36">
        <v>3117.7748240000001</v>
      </c>
      <c r="G24" s="191"/>
      <c r="H24" s="43">
        <f t="shared" si="2"/>
        <v>0.72166853830493305</v>
      </c>
      <c r="I24" s="36">
        <v>2250</v>
      </c>
      <c r="J24" s="37">
        <f t="shared" si="0"/>
        <v>0</v>
      </c>
      <c r="K24" s="39">
        <f t="shared" si="1"/>
        <v>2250</v>
      </c>
      <c r="L24" s="38">
        <v>5</v>
      </c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5"/>
    </row>
    <row r="25" spans="1:24" x14ac:dyDescent="0.2">
      <c r="A25" s="331"/>
      <c r="B25" s="66" t="s">
        <v>67</v>
      </c>
      <c r="C25" s="97" t="s">
        <v>608</v>
      </c>
      <c r="D25" s="97" t="s">
        <v>620</v>
      </c>
      <c r="E25" s="202"/>
      <c r="F25" s="36">
        <v>8628.2535850000004</v>
      </c>
      <c r="G25" s="191"/>
      <c r="H25" s="43">
        <f t="shared" si="2"/>
        <v>0.52154239043496997</v>
      </c>
      <c r="I25" s="36">
        <v>4500</v>
      </c>
      <c r="J25" s="37">
        <f t="shared" si="0"/>
        <v>0</v>
      </c>
      <c r="K25" s="39">
        <f t="shared" si="1"/>
        <v>4500</v>
      </c>
      <c r="L25" s="38">
        <v>10</v>
      </c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5"/>
    </row>
    <row r="26" spans="1:24" x14ac:dyDescent="0.2">
      <c r="A26" s="331"/>
      <c r="B26" s="66" t="s">
        <v>845</v>
      </c>
      <c r="C26" s="97" t="s">
        <v>609</v>
      </c>
      <c r="D26" s="97" t="s">
        <v>621</v>
      </c>
      <c r="E26" s="202"/>
      <c r="F26" s="36">
        <v>2912.27</v>
      </c>
      <c r="G26" s="191"/>
      <c r="H26" s="43">
        <f t="shared" si="2"/>
        <v>0.32963976554371677</v>
      </c>
      <c r="I26" s="36">
        <v>960</v>
      </c>
      <c r="J26" s="37">
        <f t="shared" si="0"/>
        <v>0</v>
      </c>
      <c r="K26" s="39">
        <f t="shared" si="1"/>
        <v>960</v>
      </c>
      <c r="L26" s="38">
        <v>3</v>
      </c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5"/>
    </row>
    <row r="27" spans="1:24" x14ac:dyDescent="0.2">
      <c r="A27" s="331"/>
      <c r="B27" s="66" t="s">
        <v>67</v>
      </c>
      <c r="C27" s="97" t="s">
        <v>610</v>
      </c>
      <c r="D27" s="97" t="s">
        <v>621</v>
      </c>
      <c r="E27" s="202"/>
      <c r="F27" s="36">
        <v>3411.88</v>
      </c>
      <c r="G27" s="191"/>
      <c r="H27" s="43">
        <f t="shared" si="2"/>
        <v>0.41033096122958601</v>
      </c>
      <c r="I27" s="36">
        <v>1400</v>
      </c>
      <c r="J27" s="37">
        <f t="shared" si="0"/>
        <v>0</v>
      </c>
      <c r="K27" s="39">
        <f t="shared" si="1"/>
        <v>1400</v>
      </c>
      <c r="L27" s="38">
        <v>4</v>
      </c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5"/>
    </row>
    <row r="28" spans="1:24" x14ac:dyDescent="0.2">
      <c r="A28" s="332"/>
      <c r="B28" s="66" t="s">
        <v>845</v>
      </c>
      <c r="C28" s="97" t="s">
        <v>860</v>
      </c>
      <c r="D28" s="97" t="s">
        <v>615</v>
      </c>
      <c r="E28" s="202"/>
      <c r="F28" s="36">
        <v>1488</v>
      </c>
      <c r="G28" s="191"/>
      <c r="H28" s="43">
        <v>0.42</v>
      </c>
      <c r="I28" s="36">
        <v>625</v>
      </c>
      <c r="J28" s="37">
        <f t="shared" si="0"/>
        <v>-4.0000000000077307E-2</v>
      </c>
      <c r="K28" s="39">
        <f t="shared" si="1"/>
        <v>624.95999999999992</v>
      </c>
      <c r="L28" s="38">
        <v>4</v>
      </c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5"/>
    </row>
    <row r="29" spans="1:24" s="277" customFormat="1" ht="18" customHeight="1" x14ac:dyDescent="0.2">
      <c r="A29" s="298" t="s">
        <v>32</v>
      </c>
      <c r="B29" s="298"/>
      <c r="C29" s="280"/>
      <c r="D29" s="280"/>
      <c r="E29" s="281">
        <f>SUM(E5:E27)</f>
        <v>0</v>
      </c>
      <c r="F29" s="279">
        <f>SUM(F5:F28)</f>
        <v>99174.245065999989</v>
      </c>
      <c r="G29" s="192"/>
      <c r="H29" s="47"/>
      <c r="I29" s="283">
        <f>SUM(I5:I28)</f>
        <v>47269</v>
      </c>
      <c r="J29" s="283">
        <f t="shared" ref="J29:K29" si="3">SUM(J5:J27)</f>
        <v>0.20000000000004547</v>
      </c>
      <c r="K29" s="283">
        <f t="shared" si="3"/>
        <v>46644.2</v>
      </c>
      <c r="L29" s="284">
        <f t="shared" ref="L29" si="4">SUM(L5:L28)</f>
        <v>147</v>
      </c>
      <c r="M29" s="20"/>
      <c r="N29" s="20"/>
      <c r="O29" s="20"/>
      <c r="P29" s="20"/>
      <c r="Q29" s="20"/>
      <c r="R29" s="20"/>
      <c r="S29" s="20"/>
      <c r="T29" s="20"/>
      <c r="U29" s="20"/>
      <c r="V29" s="20"/>
      <c r="X29" s="278"/>
    </row>
    <row r="30" spans="1:24" s="25" customFormat="1" x14ac:dyDescent="0.2">
      <c r="A30" s="327" t="s">
        <v>5</v>
      </c>
      <c r="B30" s="57" t="s">
        <v>194</v>
      </c>
      <c r="C30" s="53" t="s">
        <v>92</v>
      </c>
      <c r="D30" s="54" t="s">
        <v>69</v>
      </c>
      <c r="E30" s="203"/>
      <c r="F30" s="121">
        <v>6422.0516779999998</v>
      </c>
      <c r="G30" s="193"/>
      <c r="H30" s="44">
        <v>1</v>
      </c>
      <c r="I30" s="121">
        <v>2310</v>
      </c>
      <c r="J30" s="37">
        <f>K30-I30</f>
        <v>4112.0516779999998</v>
      </c>
      <c r="K30" s="39">
        <f t="shared" ref="K30:K61" si="5">F30*H30</f>
        <v>6422.0516779999998</v>
      </c>
      <c r="L30" s="38">
        <v>12</v>
      </c>
      <c r="M30" s="24"/>
      <c r="N30" s="166">
        <f t="shared" ref="N30:N61" si="6">J30*0.7</f>
        <v>2878.4361745999995</v>
      </c>
      <c r="O30" s="24"/>
      <c r="P30" s="24"/>
      <c r="Q30" s="24"/>
      <c r="R30" s="24"/>
      <c r="S30" s="24"/>
      <c r="T30" s="24"/>
      <c r="U30" s="24"/>
      <c r="V30" s="24"/>
      <c r="X30" s="48"/>
    </row>
    <row r="31" spans="1:24" s="25" customFormat="1" x14ac:dyDescent="0.2">
      <c r="A31" s="328"/>
      <c r="B31" s="57" t="s">
        <v>194</v>
      </c>
      <c r="C31" s="53" t="s">
        <v>93</v>
      </c>
      <c r="D31" s="54" t="s">
        <v>69</v>
      </c>
      <c r="E31" s="203"/>
      <c r="F31" s="121">
        <v>11380</v>
      </c>
      <c r="G31" s="193"/>
      <c r="H31" s="44">
        <v>1</v>
      </c>
      <c r="I31" s="121">
        <v>9723</v>
      </c>
      <c r="J31" s="37">
        <f>K31-I31</f>
        <v>1657</v>
      </c>
      <c r="K31" s="39">
        <f t="shared" si="5"/>
        <v>11380</v>
      </c>
      <c r="L31" s="38">
        <v>49</v>
      </c>
      <c r="M31" s="24"/>
      <c r="N31" s="166">
        <f t="shared" si="6"/>
        <v>1159.8999999999999</v>
      </c>
      <c r="O31" s="24"/>
      <c r="P31" s="24"/>
      <c r="Q31" s="24"/>
      <c r="R31" s="24"/>
      <c r="S31" s="24"/>
      <c r="T31" s="24"/>
      <c r="U31" s="24"/>
      <c r="V31" s="24"/>
      <c r="X31" s="48"/>
    </row>
    <row r="32" spans="1:24" s="25" customFormat="1" x14ac:dyDescent="0.2">
      <c r="A32" s="328"/>
      <c r="B32" s="57" t="s">
        <v>194</v>
      </c>
      <c r="C32" s="55" t="s">
        <v>94</v>
      </c>
      <c r="D32" s="54" t="s">
        <v>69</v>
      </c>
      <c r="E32" s="203"/>
      <c r="F32" s="121">
        <v>15209</v>
      </c>
      <c r="G32" s="193"/>
      <c r="H32" s="44">
        <v>0.9</v>
      </c>
      <c r="I32" s="121">
        <v>10684</v>
      </c>
      <c r="J32" s="37">
        <f>K32-I32</f>
        <v>3004.1000000000004</v>
      </c>
      <c r="K32" s="39">
        <f t="shared" si="5"/>
        <v>13688.1</v>
      </c>
      <c r="L32" s="38">
        <v>53</v>
      </c>
      <c r="M32" s="24"/>
      <c r="N32" s="166">
        <f t="shared" si="6"/>
        <v>2102.8700000000003</v>
      </c>
      <c r="O32" s="24"/>
      <c r="P32" s="24"/>
      <c r="Q32" s="24"/>
      <c r="R32" s="24"/>
      <c r="S32" s="24"/>
      <c r="T32" s="24"/>
      <c r="U32" s="24"/>
      <c r="V32" s="24"/>
      <c r="X32" s="48"/>
    </row>
    <row r="33" spans="1:24" s="25" customFormat="1" x14ac:dyDescent="0.2">
      <c r="A33" s="328"/>
      <c r="B33" s="57" t="s">
        <v>195</v>
      </c>
      <c r="C33" s="55" t="s">
        <v>95</v>
      </c>
      <c r="D33" s="54" t="s">
        <v>69</v>
      </c>
      <c r="E33" s="203"/>
      <c r="F33" s="121">
        <v>10879</v>
      </c>
      <c r="G33" s="193"/>
      <c r="H33" s="44">
        <v>0.7</v>
      </c>
      <c r="I33" s="121">
        <v>2305</v>
      </c>
      <c r="J33" s="37">
        <f>K33-I33</f>
        <v>5310.2999999999993</v>
      </c>
      <c r="K33" s="39">
        <f t="shared" si="5"/>
        <v>7615.2999999999993</v>
      </c>
      <c r="L33" s="38">
        <v>10</v>
      </c>
      <c r="M33" s="24"/>
      <c r="N33" s="166">
        <f t="shared" si="6"/>
        <v>3717.2099999999991</v>
      </c>
      <c r="O33" s="24"/>
      <c r="P33" s="24"/>
      <c r="Q33" s="24"/>
      <c r="R33" s="24"/>
      <c r="S33" s="24"/>
      <c r="T33" s="24"/>
      <c r="U33" s="24"/>
      <c r="V33" s="24"/>
      <c r="X33" s="48"/>
    </row>
    <row r="34" spans="1:24" s="25" customFormat="1" x14ac:dyDescent="0.2">
      <c r="A34" s="328"/>
      <c r="B34" s="57" t="s">
        <v>194</v>
      </c>
      <c r="C34" s="55" t="s">
        <v>96</v>
      </c>
      <c r="D34" s="54" t="s">
        <v>69</v>
      </c>
      <c r="E34" s="203"/>
      <c r="F34" s="121">
        <v>2327</v>
      </c>
      <c r="G34" s="193"/>
      <c r="H34" s="44">
        <v>0.5</v>
      </c>
      <c r="I34" s="121">
        <v>1258</v>
      </c>
      <c r="J34" s="37">
        <v>0</v>
      </c>
      <c r="K34" s="39">
        <f t="shared" si="5"/>
        <v>1163.5</v>
      </c>
      <c r="L34" s="38">
        <v>5</v>
      </c>
      <c r="M34" s="24"/>
      <c r="N34" s="166">
        <f t="shared" si="6"/>
        <v>0</v>
      </c>
      <c r="O34" s="24"/>
      <c r="P34" s="24"/>
      <c r="Q34" s="24"/>
      <c r="R34" s="24"/>
      <c r="S34" s="24"/>
      <c r="T34" s="24"/>
      <c r="U34" s="24"/>
      <c r="V34" s="24"/>
      <c r="X34" s="48"/>
    </row>
    <row r="35" spans="1:24" s="25" customFormat="1" x14ac:dyDescent="0.2">
      <c r="A35" s="328"/>
      <c r="B35" s="57" t="s">
        <v>194</v>
      </c>
      <c r="C35" s="55" t="s">
        <v>97</v>
      </c>
      <c r="D35" s="54" t="s">
        <v>69</v>
      </c>
      <c r="E35" s="203"/>
      <c r="F35" s="121">
        <v>1246.3851</v>
      </c>
      <c r="G35" s="193"/>
      <c r="H35" s="44">
        <v>2</v>
      </c>
      <c r="I35" s="121">
        <v>2243</v>
      </c>
      <c r="J35" s="37">
        <f>K35-I35</f>
        <v>249.77019999999993</v>
      </c>
      <c r="K35" s="39">
        <f t="shared" si="5"/>
        <v>2492.7701999999999</v>
      </c>
      <c r="L35" s="38">
        <v>10</v>
      </c>
      <c r="M35" s="24"/>
      <c r="N35" s="166">
        <f t="shared" si="6"/>
        <v>174.83913999999993</v>
      </c>
      <c r="O35" s="24"/>
      <c r="P35" s="24"/>
      <c r="Q35" s="24"/>
      <c r="R35" s="24"/>
      <c r="S35" s="24"/>
      <c r="T35" s="24"/>
      <c r="U35" s="24"/>
      <c r="V35" s="24"/>
      <c r="X35" s="48"/>
    </row>
    <row r="36" spans="1:24" s="25" customFormat="1" x14ac:dyDescent="0.2">
      <c r="A36" s="328"/>
      <c r="B36" s="57" t="s">
        <v>195</v>
      </c>
      <c r="C36" s="55" t="s">
        <v>101</v>
      </c>
      <c r="D36" s="54" t="s">
        <v>69</v>
      </c>
      <c r="E36" s="203"/>
      <c r="F36" s="121">
        <v>4045</v>
      </c>
      <c r="G36" s="193"/>
      <c r="H36" s="165">
        <f>5912/4045</f>
        <v>1.461557478368356</v>
      </c>
      <c r="I36" s="121">
        <v>4549</v>
      </c>
      <c r="J36" s="37">
        <f>K36-I36</f>
        <v>1363</v>
      </c>
      <c r="K36" s="39">
        <f t="shared" si="5"/>
        <v>5912</v>
      </c>
      <c r="L36" s="38">
        <v>20</v>
      </c>
      <c r="M36" s="24"/>
      <c r="N36" s="166">
        <f t="shared" si="6"/>
        <v>954.09999999999991</v>
      </c>
      <c r="O36" s="24"/>
      <c r="P36" s="24"/>
      <c r="Q36" s="24"/>
      <c r="R36" s="24"/>
      <c r="S36" s="24"/>
      <c r="T36" s="24"/>
      <c r="U36" s="24"/>
      <c r="V36" s="24"/>
      <c r="X36" s="48"/>
    </row>
    <row r="37" spans="1:24" s="25" customFormat="1" x14ac:dyDescent="0.2">
      <c r="A37" s="328"/>
      <c r="B37" s="57" t="s">
        <v>195</v>
      </c>
      <c r="C37" s="55" t="s">
        <v>98</v>
      </c>
      <c r="D37" s="54" t="s">
        <v>69</v>
      </c>
      <c r="E37" s="203"/>
      <c r="F37" s="121">
        <v>319</v>
      </c>
      <c r="G37" s="193"/>
      <c r="H37" s="44">
        <v>2.2999999999999998</v>
      </c>
      <c r="I37" s="121">
        <v>746</v>
      </c>
      <c r="J37" s="37">
        <v>0</v>
      </c>
      <c r="K37" s="39">
        <f t="shared" si="5"/>
        <v>733.69999999999993</v>
      </c>
      <c r="L37" s="38">
        <v>3</v>
      </c>
      <c r="M37" s="24"/>
      <c r="N37" s="166">
        <f t="shared" si="6"/>
        <v>0</v>
      </c>
      <c r="O37" s="24"/>
      <c r="P37" s="24"/>
      <c r="Q37" s="24"/>
      <c r="R37" s="24"/>
      <c r="S37" s="24"/>
      <c r="T37" s="24"/>
      <c r="U37" s="24"/>
      <c r="V37" s="24"/>
      <c r="X37" s="48"/>
    </row>
    <row r="38" spans="1:24" s="25" customFormat="1" x14ac:dyDescent="0.2">
      <c r="A38" s="328"/>
      <c r="B38" s="57" t="s">
        <v>195</v>
      </c>
      <c r="C38" s="55" t="s">
        <v>70</v>
      </c>
      <c r="D38" s="54" t="s">
        <v>69</v>
      </c>
      <c r="E38" s="203"/>
      <c r="F38" s="121">
        <v>3551</v>
      </c>
      <c r="G38" s="193"/>
      <c r="H38" s="44">
        <v>2</v>
      </c>
      <c r="I38" s="121">
        <v>4979</v>
      </c>
      <c r="J38" s="37">
        <f>K38-I38</f>
        <v>2123</v>
      </c>
      <c r="K38" s="39">
        <f t="shared" si="5"/>
        <v>7102</v>
      </c>
      <c r="L38" s="38">
        <v>21</v>
      </c>
      <c r="M38" s="24"/>
      <c r="N38" s="166">
        <f t="shared" si="6"/>
        <v>1486.1</v>
      </c>
      <c r="O38" s="24"/>
      <c r="P38" s="24"/>
      <c r="Q38" s="24"/>
      <c r="R38" s="24"/>
      <c r="S38" s="24"/>
      <c r="T38" s="24"/>
      <c r="U38" s="24"/>
      <c r="V38" s="24"/>
      <c r="X38" s="48"/>
    </row>
    <row r="39" spans="1:24" s="25" customFormat="1" x14ac:dyDescent="0.2">
      <c r="A39" s="328"/>
      <c r="B39" s="57" t="s">
        <v>196</v>
      </c>
      <c r="C39" s="55" t="s">
        <v>99</v>
      </c>
      <c r="D39" s="54" t="s">
        <v>69</v>
      </c>
      <c r="E39" s="203"/>
      <c r="F39" s="121">
        <v>1431.287139</v>
      </c>
      <c r="G39" s="193"/>
      <c r="H39" s="44">
        <v>2</v>
      </c>
      <c r="I39" s="121">
        <v>1250</v>
      </c>
      <c r="J39" s="37">
        <f>K39-I39</f>
        <v>1612.574278</v>
      </c>
      <c r="K39" s="39">
        <f t="shared" si="5"/>
        <v>2862.574278</v>
      </c>
      <c r="L39" s="38">
        <v>5</v>
      </c>
      <c r="M39" s="24"/>
      <c r="N39" s="166">
        <f t="shared" si="6"/>
        <v>1128.8019945999999</v>
      </c>
      <c r="O39" s="24"/>
      <c r="P39" s="24"/>
      <c r="Q39" s="24"/>
      <c r="R39" s="24"/>
      <c r="S39" s="24"/>
      <c r="T39" s="24"/>
      <c r="U39" s="24"/>
      <c r="V39" s="24"/>
      <c r="X39" s="48"/>
    </row>
    <row r="40" spans="1:24" s="25" customFormat="1" x14ac:dyDescent="0.2">
      <c r="A40" s="328"/>
      <c r="B40" s="57" t="s">
        <v>195</v>
      </c>
      <c r="C40" s="55" t="s">
        <v>100</v>
      </c>
      <c r="D40" s="54" t="s">
        <v>69</v>
      </c>
      <c r="E40" s="203"/>
      <c r="F40" s="121">
        <v>6836</v>
      </c>
      <c r="G40" s="193"/>
      <c r="H40" s="44">
        <v>1.5</v>
      </c>
      <c r="I40" s="121">
        <v>7166</v>
      </c>
      <c r="J40" s="37">
        <f>K40-I40</f>
        <v>3088</v>
      </c>
      <c r="K40" s="39">
        <f t="shared" si="5"/>
        <v>10254</v>
      </c>
      <c r="L40" s="38">
        <v>35</v>
      </c>
      <c r="M40" s="24"/>
      <c r="N40" s="166">
        <f t="shared" si="6"/>
        <v>2161.6</v>
      </c>
      <c r="O40" s="24"/>
      <c r="P40" s="24"/>
      <c r="Q40" s="24"/>
      <c r="R40" s="24"/>
      <c r="S40" s="24"/>
      <c r="T40" s="24"/>
      <c r="U40" s="24"/>
      <c r="V40" s="24"/>
      <c r="X40" s="48"/>
    </row>
    <row r="41" spans="1:24" s="25" customFormat="1" x14ac:dyDescent="0.2">
      <c r="A41" s="328"/>
      <c r="B41" s="57" t="s">
        <v>195</v>
      </c>
      <c r="C41" s="55" t="s">
        <v>102</v>
      </c>
      <c r="D41" s="54" t="s">
        <v>69</v>
      </c>
      <c r="E41" s="203"/>
      <c r="F41" s="121">
        <v>1470</v>
      </c>
      <c r="G41" s="193"/>
      <c r="H41" s="44">
        <v>1</v>
      </c>
      <c r="I41" s="121">
        <v>1614</v>
      </c>
      <c r="J41" s="37">
        <v>0</v>
      </c>
      <c r="K41" s="39">
        <f t="shared" si="5"/>
        <v>1470</v>
      </c>
      <c r="L41" s="38">
        <v>7</v>
      </c>
      <c r="M41" s="24"/>
      <c r="N41" s="166">
        <f t="shared" si="6"/>
        <v>0</v>
      </c>
      <c r="O41" s="24"/>
      <c r="P41" s="24"/>
      <c r="Q41" s="24"/>
      <c r="R41" s="24"/>
      <c r="S41" s="24"/>
      <c r="T41" s="24"/>
      <c r="U41" s="24"/>
      <c r="V41" s="24"/>
      <c r="X41" s="48"/>
    </row>
    <row r="42" spans="1:24" s="25" customFormat="1" x14ac:dyDescent="0.2">
      <c r="A42" s="328"/>
      <c r="B42" s="57" t="s">
        <v>194</v>
      </c>
      <c r="C42" s="55" t="s">
        <v>103</v>
      </c>
      <c r="D42" s="54" t="s">
        <v>69</v>
      </c>
      <c r="E42" s="203"/>
      <c r="F42" s="121">
        <v>503</v>
      </c>
      <c r="G42" s="193"/>
      <c r="H42" s="44">
        <v>1</v>
      </c>
      <c r="I42" s="121">
        <v>500</v>
      </c>
      <c r="J42" s="37">
        <v>0</v>
      </c>
      <c r="K42" s="39">
        <f t="shared" si="5"/>
        <v>503</v>
      </c>
      <c r="L42" s="38">
        <v>2</v>
      </c>
      <c r="M42" s="24"/>
      <c r="N42" s="166">
        <f t="shared" si="6"/>
        <v>0</v>
      </c>
      <c r="O42" s="24"/>
      <c r="P42" s="24"/>
      <c r="Q42" s="24"/>
      <c r="R42" s="24"/>
      <c r="S42" s="24"/>
      <c r="T42" s="24"/>
      <c r="U42" s="24"/>
      <c r="V42" s="24"/>
      <c r="X42" s="48"/>
    </row>
    <row r="43" spans="1:24" s="25" customFormat="1" x14ac:dyDescent="0.2">
      <c r="A43" s="328"/>
      <c r="B43" s="57" t="s">
        <v>194</v>
      </c>
      <c r="C43" s="55" t="s">
        <v>104</v>
      </c>
      <c r="D43" s="54" t="s">
        <v>69</v>
      </c>
      <c r="E43" s="203"/>
      <c r="F43" s="121">
        <v>5236</v>
      </c>
      <c r="G43" s="193"/>
      <c r="H43" s="44">
        <v>0.8</v>
      </c>
      <c r="I43" s="121">
        <v>2970</v>
      </c>
      <c r="J43" s="37">
        <f t="shared" ref="J43:J73" si="7">K43-I43</f>
        <v>1218.8000000000002</v>
      </c>
      <c r="K43" s="39">
        <f t="shared" si="5"/>
        <v>4188.8</v>
      </c>
      <c r="L43" s="38">
        <v>13</v>
      </c>
      <c r="M43" s="24"/>
      <c r="N43" s="166">
        <f t="shared" si="6"/>
        <v>853.16000000000008</v>
      </c>
      <c r="O43" s="24"/>
      <c r="P43" s="24"/>
      <c r="Q43" s="24"/>
      <c r="R43" s="24"/>
      <c r="S43" s="24"/>
      <c r="T43" s="24"/>
      <c r="U43" s="24"/>
      <c r="V43" s="24"/>
      <c r="X43" s="48"/>
    </row>
    <row r="44" spans="1:24" s="25" customFormat="1" x14ac:dyDescent="0.2">
      <c r="A44" s="328"/>
      <c r="B44" s="57" t="s">
        <v>194</v>
      </c>
      <c r="C44" s="55" t="s">
        <v>105</v>
      </c>
      <c r="D44" s="54" t="s">
        <v>69</v>
      </c>
      <c r="E44" s="203"/>
      <c r="F44" s="121">
        <v>2586</v>
      </c>
      <c r="G44" s="193"/>
      <c r="H44" s="44">
        <v>0.8</v>
      </c>
      <c r="I44" s="121">
        <v>1484</v>
      </c>
      <c r="J44" s="37">
        <f t="shared" si="7"/>
        <v>584.80000000000018</v>
      </c>
      <c r="K44" s="39">
        <f t="shared" si="5"/>
        <v>2068.8000000000002</v>
      </c>
      <c r="L44" s="38">
        <v>6</v>
      </c>
      <c r="M44" s="24"/>
      <c r="N44" s="166">
        <f t="shared" si="6"/>
        <v>409.36000000000013</v>
      </c>
      <c r="O44" s="24"/>
      <c r="P44" s="24"/>
      <c r="Q44" s="24"/>
      <c r="R44" s="24"/>
      <c r="S44" s="24"/>
      <c r="T44" s="24"/>
      <c r="U44" s="24"/>
      <c r="V44" s="24"/>
      <c r="X44" s="48"/>
    </row>
    <row r="45" spans="1:24" s="25" customFormat="1" x14ac:dyDescent="0.2">
      <c r="A45" s="328"/>
      <c r="B45" s="57" t="s">
        <v>194</v>
      </c>
      <c r="C45" s="55" t="s">
        <v>106</v>
      </c>
      <c r="D45" s="54" t="s">
        <v>69</v>
      </c>
      <c r="E45" s="203"/>
      <c r="F45" s="121">
        <v>3171</v>
      </c>
      <c r="G45" s="193"/>
      <c r="H45" s="44">
        <v>0.8</v>
      </c>
      <c r="I45" s="121">
        <v>1749</v>
      </c>
      <c r="J45" s="37">
        <f t="shared" si="7"/>
        <v>787.80000000000018</v>
      </c>
      <c r="K45" s="39">
        <f t="shared" si="5"/>
        <v>2536.8000000000002</v>
      </c>
      <c r="L45" s="38">
        <v>8</v>
      </c>
      <c r="M45" s="24"/>
      <c r="N45" s="166">
        <f t="shared" si="6"/>
        <v>551.46</v>
      </c>
      <c r="O45" s="24"/>
      <c r="P45" s="24"/>
      <c r="Q45" s="24"/>
      <c r="R45" s="24"/>
      <c r="S45" s="24"/>
      <c r="T45" s="24"/>
      <c r="U45" s="24"/>
      <c r="V45" s="24"/>
      <c r="X45" s="48"/>
    </row>
    <row r="46" spans="1:24" s="25" customFormat="1" x14ac:dyDescent="0.2">
      <c r="A46" s="328"/>
      <c r="B46" s="57" t="s">
        <v>194</v>
      </c>
      <c r="C46" s="55" t="s">
        <v>107</v>
      </c>
      <c r="D46" s="54" t="s">
        <v>69</v>
      </c>
      <c r="E46" s="203"/>
      <c r="F46" s="121">
        <v>4573</v>
      </c>
      <c r="G46" s="193"/>
      <c r="H46" s="44">
        <v>0.5</v>
      </c>
      <c r="I46" s="121">
        <v>1064</v>
      </c>
      <c r="J46" s="37">
        <f t="shared" si="7"/>
        <v>1222.5</v>
      </c>
      <c r="K46" s="39">
        <f t="shared" si="5"/>
        <v>2286.5</v>
      </c>
      <c r="L46" s="38">
        <v>5</v>
      </c>
      <c r="M46" s="24"/>
      <c r="N46" s="166">
        <f t="shared" si="6"/>
        <v>855.75</v>
      </c>
      <c r="O46" s="24"/>
      <c r="P46" s="24"/>
      <c r="Q46" s="24"/>
      <c r="R46" s="24"/>
      <c r="S46" s="24"/>
      <c r="T46" s="24"/>
      <c r="U46" s="24"/>
      <c r="V46" s="24"/>
      <c r="X46" s="48"/>
    </row>
    <row r="47" spans="1:24" s="25" customFormat="1" x14ac:dyDescent="0.2">
      <c r="A47" s="328"/>
      <c r="B47" s="57" t="s">
        <v>194</v>
      </c>
      <c r="C47" s="55" t="s">
        <v>108</v>
      </c>
      <c r="D47" s="54" t="s">
        <v>69</v>
      </c>
      <c r="E47" s="203"/>
      <c r="F47" s="121">
        <v>1597</v>
      </c>
      <c r="G47" s="193"/>
      <c r="H47" s="44">
        <v>1.2</v>
      </c>
      <c r="I47" s="121">
        <v>1382</v>
      </c>
      <c r="J47" s="37">
        <f t="shared" si="7"/>
        <v>534.39999999999986</v>
      </c>
      <c r="K47" s="39">
        <f t="shared" si="5"/>
        <v>1916.3999999999999</v>
      </c>
      <c r="L47" s="38">
        <v>6</v>
      </c>
      <c r="M47" s="24"/>
      <c r="N47" s="166">
        <f t="shared" si="6"/>
        <v>374.07999999999987</v>
      </c>
      <c r="O47" s="24"/>
      <c r="P47" s="24"/>
      <c r="Q47" s="24"/>
      <c r="R47" s="24"/>
      <c r="S47" s="24"/>
      <c r="T47" s="24"/>
      <c r="U47" s="24"/>
      <c r="V47" s="24"/>
      <c r="X47" s="48"/>
    </row>
    <row r="48" spans="1:24" s="25" customFormat="1" x14ac:dyDescent="0.2">
      <c r="A48" s="328"/>
      <c r="B48" s="57" t="s">
        <v>194</v>
      </c>
      <c r="C48" s="55" t="s">
        <v>109</v>
      </c>
      <c r="D48" s="54" t="s">
        <v>69</v>
      </c>
      <c r="E48" s="203"/>
      <c r="F48" s="121">
        <v>2062</v>
      </c>
      <c r="G48" s="193"/>
      <c r="H48" s="44">
        <v>0.9</v>
      </c>
      <c r="I48" s="121">
        <v>844</v>
      </c>
      <c r="J48" s="37">
        <f t="shared" si="7"/>
        <v>1011.8</v>
      </c>
      <c r="K48" s="39">
        <f t="shared" si="5"/>
        <v>1855.8</v>
      </c>
      <c r="L48" s="38">
        <v>4</v>
      </c>
      <c r="M48" s="24"/>
      <c r="N48" s="166">
        <f t="shared" si="6"/>
        <v>708.25999999999988</v>
      </c>
      <c r="O48" s="24"/>
      <c r="P48" s="24"/>
      <c r="Q48" s="24"/>
      <c r="R48" s="24"/>
      <c r="S48" s="24"/>
      <c r="T48" s="24"/>
      <c r="U48" s="24"/>
      <c r="V48" s="24"/>
      <c r="X48" s="48"/>
    </row>
    <row r="49" spans="1:24" s="25" customFormat="1" x14ac:dyDescent="0.2">
      <c r="A49" s="328"/>
      <c r="B49" s="57" t="s">
        <v>195</v>
      </c>
      <c r="C49" s="55" t="s">
        <v>110</v>
      </c>
      <c r="D49" s="54" t="s">
        <v>69</v>
      </c>
      <c r="E49" s="203"/>
      <c r="F49" s="121">
        <v>4221</v>
      </c>
      <c r="G49" s="193"/>
      <c r="H49" s="44">
        <v>0.7</v>
      </c>
      <c r="I49" s="121">
        <v>790</v>
      </c>
      <c r="J49" s="37">
        <f t="shared" si="7"/>
        <v>2164.6999999999998</v>
      </c>
      <c r="K49" s="39">
        <f t="shared" si="5"/>
        <v>2954.7</v>
      </c>
      <c r="L49" s="38">
        <v>3</v>
      </c>
      <c r="M49" s="24"/>
      <c r="N49" s="166">
        <f t="shared" si="6"/>
        <v>1515.2899999999997</v>
      </c>
      <c r="O49" s="24"/>
      <c r="P49" s="24"/>
      <c r="Q49" s="24"/>
      <c r="R49" s="24"/>
      <c r="S49" s="24"/>
      <c r="T49" s="24"/>
      <c r="U49" s="24"/>
      <c r="V49" s="24"/>
      <c r="X49" s="48"/>
    </row>
    <row r="50" spans="1:24" s="25" customFormat="1" x14ac:dyDescent="0.2">
      <c r="A50" s="328"/>
      <c r="B50" s="57" t="s">
        <v>194</v>
      </c>
      <c r="C50" s="55" t="s">
        <v>111</v>
      </c>
      <c r="D50" s="54" t="s">
        <v>69</v>
      </c>
      <c r="E50" s="203"/>
      <c r="F50" s="121">
        <v>2844.273596</v>
      </c>
      <c r="G50" s="193"/>
      <c r="H50" s="44">
        <v>0.9</v>
      </c>
      <c r="I50" s="121">
        <v>900</v>
      </c>
      <c r="J50" s="37">
        <f t="shared" si="7"/>
        <v>1659.8462364000002</v>
      </c>
      <c r="K50" s="39">
        <f t="shared" si="5"/>
        <v>2559.8462364000002</v>
      </c>
      <c r="L50" s="38">
        <v>4</v>
      </c>
      <c r="M50" s="24"/>
      <c r="N50" s="166">
        <f t="shared" si="6"/>
        <v>1161.8923654800001</v>
      </c>
      <c r="O50" s="24"/>
      <c r="P50" s="24"/>
      <c r="Q50" s="24"/>
      <c r="R50" s="24"/>
      <c r="S50" s="24"/>
      <c r="T50" s="24"/>
      <c r="U50" s="24"/>
      <c r="V50" s="24"/>
      <c r="X50" s="48"/>
    </row>
    <row r="51" spans="1:24" s="25" customFormat="1" x14ac:dyDescent="0.2">
      <c r="A51" s="328"/>
      <c r="B51" s="57" t="s">
        <v>194</v>
      </c>
      <c r="C51" s="55" t="s">
        <v>112</v>
      </c>
      <c r="D51" s="54" t="s">
        <v>69</v>
      </c>
      <c r="E51" s="203"/>
      <c r="F51" s="121">
        <v>2441</v>
      </c>
      <c r="G51" s="193"/>
      <c r="H51" s="44">
        <v>0.5</v>
      </c>
      <c r="I51" s="121">
        <v>0</v>
      </c>
      <c r="J51" s="37">
        <f t="shared" si="7"/>
        <v>1220.5</v>
      </c>
      <c r="K51" s="39">
        <f t="shared" si="5"/>
        <v>1220.5</v>
      </c>
      <c r="L51" s="38">
        <v>0</v>
      </c>
      <c r="M51" s="24"/>
      <c r="N51" s="166">
        <f t="shared" si="6"/>
        <v>854.34999999999991</v>
      </c>
      <c r="O51" s="24"/>
      <c r="P51" s="24"/>
      <c r="Q51" s="24"/>
      <c r="R51" s="24"/>
      <c r="S51" s="24"/>
      <c r="T51" s="24"/>
      <c r="U51" s="24"/>
      <c r="V51" s="24"/>
      <c r="X51" s="48"/>
    </row>
    <row r="52" spans="1:24" s="25" customFormat="1" x14ac:dyDescent="0.2">
      <c r="A52" s="328"/>
      <c r="B52" s="57" t="s">
        <v>194</v>
      </c>
      <c r="C52" s="55" t="s">
        <v>113</v>
      </c>
      <c r="D52" s="54" t="s">
        <v>69</v>
      </c>
      <c r="E52" s="203"/>
      <c r="F52" s="121">
        <v>1154</v>
      </c>
      <c r="G52" s="193"/>
      <c r="H52" s="44">
        <v>1.5</v>
      </c>
      <c r="I52" s="121">
        <v>1604</v>
      </c>
      <c r="J52" s="37">
        <f t="shared" si="7"/>
        <v>127</v>
      </c>
      <c r="K52" s="39">
        <f t="shared" si="5"/>
        <v>1731</v>
      </c>
      <c r="L52" s="38">
        <v>7</v>
      </c>
      <c r="M52" s="24"/>
      <c r="N52" s="166">
        <f t="shared" si="6"/>
        <v>88.899999999999991</v>
      </c>
      <c r="O52" s="24"/>
      <c r="P52" s="24"/>
      <c r="Q52" s="24"/>
      <c r="R52" s="24"/>
      <c r="S52" s="24"/>
      <c r="T52" s="24"/>
      <c r="U52" s="24"/>
      <c r="V52" s="24"/>
      <c r="X52" s="48"/>
    </row>
    <row r="53" spans="1:24" s="25" customFormat="1" x14ac:dyDescent="0.2">
      <c r="A53" s="328"/>
      <c r="B53" s="57" t="s">
        <v>67</v>
      </c>
      <c r="C53" s="55" t="s">
        <v>121</v>
      </c>
      <c r="D53" s="54" t="s">
        <v>69</v>
      </c>
      <c r="E53" s="203"/>
      <c r="F53" s="121">
        <v>11269</v>
      </c>
      <c r="G53" s="193"/>
      <c r="H53" s="44">
        <v>0.3</v>
      </c>
      <c r="I53" s="121">
        <v>2911</v>
      </c>
      <c r="J53" s="37">
        <f t="shared" si="7"/>
        <v>469.69999999999982</v>
      </c>
      <c r="K53" s="39">
        <f t="shared" si="5"/>
        <v>3380.7</v>
      </c>
      <c r="L53" s="38">
        <v>13</v>
      </c>
      <c r="M53" s="24"/>
      <c r="N53" s="166">
        <f t="shared" si="6"/>
        <v>328.78999999999985</v>
      </c>
      <c r="O53" s="24"/>
      <c r="P53" s="24"/>
      <c r="Q53" s="24"/>
      <c r="R53" s="24"/>
      <c r="S53" s="24"/>
      <c r="T53" s="24"/>
      <c r="U53" s="24"/>
      <c r="V53" s="24"/>
      <c r="X53" s="48"/>
    </row>
    <row r="54" spans="1:24" s="25" customFormat="1" x14ac:dyDescent="0.2">
      <c r="A54" s="328"/>
      <c r="B54" s="57" t="s">
        <v>194</v>
      </c>
      <c r="C54" s="55" t="s">
        <v>114</v>
      </c>
      <c r="D54" s="54" t="s">
        <v>69</v>
      </c>
      <c r="E54" s="203"/>
      <c r="F54" s="121">
        <v>10407.894586</v>
      </c>
      <c r="G54" s="193"/>
      <c r="H54" s="44">
        <v>0.9</v>
      </c>
      <c r="I54" s="121">
        <v>5818</v>
      </c>
      <c r="J54" s="37">
        <f t="shared" si="7"/>
        <v>3549.1051274000001</v>
      </c>
      <c r="K54" s="39">
        <f t="shared" si="5"/>
        <v>9367.1051274000001</v>
      </c>
      <c r="L54" s="38">
        <v>28</v>
      </c>
      <c r="M54" s="24"/>
      <c r="N54" s="166">
        <f t="shared" si="6"/>
        <v>2484.3735891799997</v>
      </c>
      <c r="O54" s="24"/>
      <c r="P54" s="24"/>
      <c r="Q54" s="24"/>
      <c r="R54" s="24"/>
      <c r="S54" s="24"/>
      <c r="T54" s="24"/>
      <c r="U54" s="24"/>
      <c r="V54" s="24"/>
      <c r="X54" s="48"/>
    </row>
    <row r="55" spans="1:24" s="25" customFormat="1" x14ac:dyDescent="0.2">
      <c r="A55" s="328"/>
      <c r="B55" s="57" t="s">
        <v>194</v>
      </c>
      <c r="C55" s="55" t="s">
        <v>115</v>
      </c>
      <c r="D55" s="54" t="s">
        <v>69</v>
      </c>
      <c r="E55" s="203"/>
      <c r="F55" s="121">
        <v>2094</v>
      </c>
      <c r="G55" s="193"/>
      <c r="H55" s="44">
        <v>1</v>
      </c>
      <c r="I55" s="121">
        <v>1529</v>
      </c>
      <c r="J55" s="37">
        <f t="shared" si="7"/>
        <v>565</v>
      </c>
      <c r="K55" s="39">
        <f t="shared" si="5"/>
        <v>2094</v>
      </c>
      <c r="L55" s="38">
        <v>7</v>
      </c>
      <c r="M55" s="24"/>
      <c r="N55" s="166">
        <f t="shared" si="6"/>
        <v>395.5</v>
      </c>
      <c r="O55" s="24"/>
      <c r="P55" s="24"/>
      <c r="Q55" s="24"/>
      <c r="R55" s="24"/>
      <c r="S55" s="24"/>
      <c r="T55" s="24"/>
      <c r="U55" s="24"/>
      <c r="V55" s="24"/>
      <c r="X55" s="48"/>
    </row>
    <row r="56" spans="1:24" s="25" customFormat="1" x14ac:dyDescent="0.2">
      <c r="A56" s="328"/>
      <c r="B56" s="57" t="s">
        <v>197</v>
      </c>
      <c r="C56" s="55" t="s">
        <v>116</v>
      </c>
      <c r="D56" s="54" t="s">
        <v>69</v>
      </c>
      <c r="E56" s="203"/>
      <c r="F56" s="121">
        <v>1191</v>
      </c>
      <c r="G56" s="193"/>
      <c r="H56" s="44">
        <v>1</v>
      </c>
      <c r="I56" s="121">
        <v>1100</v>
      </c>
      <c r="J56" s="37">
        <f t="shared" si="7"/>
        <v>91</v>
      </c>
      <c r="K56" s="39">
        <f t="shared" si="5"/>
        <v>1191</v>
      </c>
      <c r="L56" s="38">
        <v>5</v>
      </c>
      <c r="M56" s="24"/>
      <c r="N56" s="166">
        <f t="shared" si="6"/>
        <v>63.699999999999996</v>
      </c>
      <c r="O56" s="24"/>
      <c r="P56" s="24"/>
      <c r="Q56" s="24"/>
      <c r="R56" s="24"/>
      <c r="S56" s="24"/>
      <c r="T56" s="24"/>
      <c r="U56" s="24"/>
      <c r="V56" s="24"/>
      <c r="X56" s="48"/>
    </row>
    <row r="57" spans="1:24" s="25" customFormat="1" x14ac:dyDescent="0.2">
      <c r="A57" s="328"/>
      <c r="B57" s="57" t="s">
        <v>198</v>
      </c>
      <c r="C57" s="55" t="s">
        <v>117</v>
      </c>
      <c r="D57" s="54" t="s">
        <v>69</v>
      </c>
      <c r="E57" s="203"/>
      <c r="F57" s="121">
        <v>5827</v>
      </c>
      <c r="G57" s="193"/>
      <c r="H57" s="44">
        <f>4079/5827</f>
        <v>0.70001716148961735</v>
      </c>
      <c r="I57" s="121">
        <v>3652</v>
      </c>
      <c r="J57" s="37">
        <f t="shared" si="7"/>
        <v>427.00000000000045</v>
      </c>
      <c r="K57" s="39">
        <f t="shared" si="5"/>
        <v>4079.0000000000005</v>
      </c>
      <c r="L57" s="38">
        <v>16</v>
      </c>
      <c r="M57" s="24"/>
      <c r="N57" s="166">
        <f t="shared" si="6"/>
        <v>298.90000000000032</v>
      </c>
      <c r="O57" s="24"/>
      <c r="P57" s="24"/>
      <c r="Q57" s="24"/>
      <c r="R57" s="24"/>
      <c r="S57" s="24"/>
      <c r="T57" s="24"/>
      <c r="U57" s="24"/>
      <c r="V57" s="24"/>
      <c r="X57" s="48"/>
    </row>
    <row r="58" spans="1:24" s="25" customFormat="1" x14ac:dyDescent="0.2">
      <c r="A58" s="328"/>
      <c r="B58" s="57" t="s">
        <v>194</v>
      </c>
      <c r="C58" s="55" t="s">
        <v>118</v>
      </c>
      <c r="D58" s="54" t="s">
        <v>69</v>
      </c>
      <c r="E58" s="203"/>
      <c r="F58" s="121">
        <v>1594</v>
      </c>
      <c r="G58" s="193"/>
      <c r="H58" s="44">
        <v>1</v>
      </c>
      <c r="I58" s="121">
        <v>813</v>
      </c>
      <c r="J58" s="37">
        <f t="shared" si="7"/>
        <v>781</v>
      </c>
      <c r="K58" s="39">
        <f t="shared" si="5"/>
        <v>1594</v>
      </c>
      <c r="L58" s="38">
        <v>3</v>
      </c>
      <c r="M58" s="24"/>
      <c r="N58" s="166">
        <f t="shared" si="6"/>
        <v>546.69999999999993</v>
      </c>
      <c r="O58" s="24"/>
      <c r="P58" s="24"/>
      <c r="Q58" s="24"/>
      <c r="R58" s="24"/>
      <c r="S58" s="24"/>
      <c r="T58" s="24"/>
      <c r="U58" s="24"/>
      <c r="V58" s="24"/>
      <c r="X58" s="48"/>
    </row>
    <row r="59" spans="1:24" s="25" customFormat="1" x14ac:dyDescent="0.2">
      <c r="A59" s="328"/>
      <c r="B59" s="57" t="s">
        <v>194</v>
      </c>
      <c r="C59" s="55" t="s">
        <v>119</v>
      </c>
      <c r="D59" s="54" t="s">
        <v>69</v>
      </c>
      <c r="E59" s="203"/>
      <c r="F59" s="121">
        <v>4723</v>
      </c>
      <c r="G59" s="193"/>
      <c r="H59" s="44">
        <v>0.8</v>
      </c>
      <c r="I59" s="121">
        <v>2371</v>
      </c>
      <c r="J59" s="37">
        <f t="shared" si="7"/>
        <v>1407.4</v>
      </c>
      <c r="K59" s="39">
        <f t="shared" si="5"/>
        <v>3778.4</v>
      </c>
      <c r="L59" s="38">
        <v>10</v>
      </c>
      <c r="M59" s="24"/>
      <c r="N59" s="166">
        <f t="shared" si="6"/>
        <v>985.18</v>
      </c>
      <c r="O59" s="24"/>
      <c r="P59" s="24"/>
      <c r="Q59" s="24"/>
      <c r="R59" s="24"/>
      <c r="S59" s="24"/>
      <c r="T59" s="24"/>
      <c r="U59" s="24"/>
      <c r="V59" s="24"/>
      <c r="X59" s="48"/>
    </row>
    <row r="60" spans="1:24" s="25" customFormat="1" x14ac:dyDescent="0.2">
      <c r="A60" s="328"/>
      <c r="B60" s="57" t="s">
        <v>194</v>
      </c>
      <c r="C60" s="55" t="s">
        <v>120</v>
      </c>
      <c r="D60" s="54" t="s">
        <v>69</v>
      </c>
      <c r="E60" s="203"/>
      <c r="F60" s="121">
        <v>4373</v>
      </c>
      <c r="G60" s="193"/>
      <c r="H60" s="44">
        <v>0.7</v>
      </c>
      <c r="I60" s="121">
        <v>2469</v>
      </c>
      <c r="J60" s="37">
        <f t="shared" si="7"/>
        <v>592.09999999999991</v>
      </c>
      <c r="K60" s="39">
        <f t="shared" si="5"/>
        <v>3061.1</v>
      </c>
      <c r="L60" s="38">
        <v>11</v>
      </c>
      <c r="M60" s="24"/>
      <c r="N60" s="166">
        <f t="shared" si="6"/>
        <v>414.46999999999991</v>
      </c>
      <c r="O60" s="24"/>
      <c r="P60" s="24"/>
      <c r="Q60" s="24"/>
      <c r="R60" s="24"/>
      <c r="S60" s="24"/>
      <c r="T60" s="24"/>
      <c r="U60" s="24"/>
      <c r="V60" s="24"/>
      <c r="X60" s="48"/>
    </row>
    <row r="61" spans="1:24" s="25" customFormat="1" x14ac:dyDescent="0.2">
      <c r="A61" s="328"/>
      <c r="B61" s="57" t="s">
        <v>194</v>
      </c>
      <c r="C61" s="55" t="s">
        <v>122</v>
      </c>
      <c r="D61" s="54" t="s">
        <v>69</v>
      </c>
      <c r="E61" s="203"/>
      <c r="F61" s="121">
        <v>5386</v>
      </c>
      <c r="G61" s="193"/>
      <c r="H61" s="44">
        <v>0.8</v>
      </c>
      <c r="I61" s="121">
        <v>2495</v>
      </c>
      <c r="J61" s="37">
        <f t="shared" si="7"/>
        <v>1813.8000000000002</v>
      </c>
      <c r="K61" s="39">
        <f t="shared" si="5"/>
        <v>4308.8</v>
      </c>
      <c r="L61" s="38">
        <v>11</v>
      </c>
      <c r="M61" s="24"/>
      <c r="N61" s="166">
        <f t="shared" si="6"/>
        <v>1269.6600000000001</v>
      </c>
      <c r="O61" s="24"/>
      <c r="P61" s="24"/>
      <c r="Q61" s="24"/>
      <c r="R61" s="24"/>
      <c r="S61" s="24"/>
      <c r="T61" s="24"/>
      <c r="U61" s="24"/>
      <c r="V61" s="24"/>
      <c r="X61" s="48"/>
    </row>
    <row r="62" spans="1:24" s="25" customFormat="1" x14ac:dyDescent="0.2">
      <c r="A62" s="328"/>
      <c r="B62" s="57" t="s">
        <v>194</v>
      </c>
      <c r="C62" s="55" t="s">
        <v>123</v>
      </c>
      <c r="D62" s="54" t="s">
        <v>69</v>
      </c>
      <c r="E62" s="203"/>
      <c r="F62" s="121">
        <v>3598</v>
      </c>
      <c r="G62" s="193"/>
      <c r="H62" s="44">
        <v>1</v>
      </c>
      <c r="I62" s="121">
        <v>3341</v>
      </c>
      <c r="J62" s="37">
        <f t="shared" si="7"/>
        <v>257</v>
      </c>
      <c r="K62" s="39">
        <f t="shared" ref="K62:K92" si="8">F62*H62</f>
        <v>3598</v>
      </c>
      <c r="L62" s="38">
        <v>16</v>
      </c>
      <c r="M62" s="24"/>
      <c r="N62" s="166">
        <f t="shared" ref="N62:N92" si="9">J62*0.7</f>
        <v>179.89999999999998</v>
      </c>
      <c r="O62" s="24"/>
      <c r="P62" s="24"/>
      <c r="Q62" s="24"/>
      <c r="R62" s="24"/>
      <c r="S62" s="24"/>
      <c r="T62" s="24"/>
      <c r="U62" s="24"/>
      <c r="V62" s="24"/>
      <c r="X62" s="48"/>
    </row>
    <row r="63" spans="1:24" s="25" customFormat="1" x14ac:dyDescent="0.2">
      <c r="A63" s="328"/>
      <c r="B63" s="57" t="s">
        <v>194</v>
      </c>
      <c r="C63" s="122" t="s">
        <v>124</v>
      </c>
      <c r="D63" s="54" t="s">
        <v>69</v>
      </c>
      <c r="E63" s="203"/>
      <c r="F63" s="121">
        <v>13910</v>
      </c>
      <c r="G63" s="193"/>
      <c r="H63" s="44">
        <v>1.3</v>
      </c>
      <c r="I63" s="121">
        <v>14389</v>
      </c>
      <c r="J63" s="37">
        <f t="shared" si="7"/>
        <v>3694</v>
      </c>
      <c r="K63" s="39">
        <f t="shared" si="8"/>
        <v>18083</v>
      </c>
      <c r="L63" s="38">
        <v>71</v>
      </c>
      <c r="M63" s="24"/>
      <c r="N63" s="166">
        <f t="shared" si="9"/>
        <v>2585.7999999999997</v>
      </c>
      <c r="O63" s="24"/>
      <c r="P63" s="24"/>
      <c r="Q63" s="24"/>
      <c r="R63" s="24"/>
      <c r="S63" s="24"/>
      <c r="T63" s="24"/>
      <c r="U63" s="24"/>
      <c r="V63" s="24"/>
      <c r="X63" s="48"/>
    </row>
    <row r="64" spans="1:24" s="25" customFormat="1" x14ac:dyDescent="0.2">
      <c r="A64" s="328"/>
      <c r="B64" s="57" t="s">
        <v>199</v>
      </c>
      <c r="C64" s="55" t="s">
        <v>125</v>
      </c>
      <c r="D64" s="54" t="s">
        <v>69</v>
      </c>
      <c r="E64" s="203"/>
      <c r="F64" s="121">
        <v>4645</v>
      </c>
      <c r="G64" s="193"/>
      <c r="H64" s="44">
        <v>0.8</v>
      </c>
      <c r="I64" s="121">
        <v>2332</v>
      </c>
      <c r="J64" s="37">
        <f t="shared" si="7"/>
        <v>1384</v>
      </c>
      <c r="K64" s="39">
        <f t="shared" si="8"/>
        <v>3716</v>
      </c>
      <c r="L64" s="38">
        <v>11</v>
      </c>
      <c r="M64" s="24"/>
      <c r="N64" s="166">
        <f t="shared" si="9"/>
        <v>968.8</v>
      </c>
      <c r="O64" s="24"/>
      <c r="P64" s="24"/>
      <c r="Q64" s="24"/>
      <c r="R64" s="24"/>
      <c r="S64" s="24"/>
      <c r="T64" s="24"/>
      <c r="U64" s="24"/>
      <c r="V64" s="24"/>
      <c r="X64" s="48"/>
    </row>
    <row r="65" spans="1:24" s="25" customFormat="1" x14ac:dyDescent="0.2">
      <c r="A65" s="328"/>
      <c r="B65" s="57" t="s">
        <v>200</v>
      </c>
      <c r="C65" s="55" t="s">
        <v>126</v>
      </c>
      <c r="D65" s="54" t="s">
        <v>69</v>
      </c>
      <c r="E65" s="203"/>
      <c r="F65" s="121">
        <v>6543</v>
      </c>
      <c r="G65" s="193"/>
      <c r="H65" s="44">
        <v>0.7</v>
      </c>
      <c r="I65" s="121">
        <v>4300</v>
      </c>
      <c r="J65" s="37">
        <f t="shared" si="7"/>
        <v>280.09999999999945</v>
      </c>
      <c r="K65" s="39">
        <f t="shared" si="8"/>
        <v>4580.0999999999995</v>
      </c>
      <c r="L65" s="38">
        <v>21</v>
      </c>
      <c r="M65" s="24"/>
      <c r="N65" s="166">
        <f t="shared" si="9"/>
        <v>196.0699999999996</v>
      </c>
      <c r="O65" s="24"/>
      <c r="P65" s="24"/>
      <c r="Q65" s="24"/>
      <c r="R65" s="24"/>
      <c r="S65" s="24"/>
      <c r="T65" s="24"/>
      <c r="U65" s="24"/>
      <c r="V65" s="24"/>
      <c r="X65" s="48"/>
    </row>
    <row r="66" spans="1:24" s="25" customFormat="1" x14ac:dyDescent="0.2">
      <c r="A66" s="328"/>
      <c r="B66" s="57" t="s">
        <v>200</v>
      </c>
      <c r="C66" s="55" t="s">
        <v>127</v>
      </c>
      <c r="D66" s="54" t="s">
        <v>69</v>
      </c>
      <c r="E66" s="203"/>
      <c r="F66" s="121">
        <v>6087</v>
      </c>
      <c r="G66" s="193"/>
      <c r="H66" s="44">
        <v>0.8</v>
      </c>
      <c r="I66" s="121">
        <v>3850</v>
      </c>
      <c r="J66" s="37">
        <f t="shared" si="7"/>
        <v>1019.6000000000004</v>
      </c>
      <c r="K66" s="39">
        <f t="shared" si="8"/>
        <v>4869.6000000000004</v>
      </c>
      <c r="L66" s="38">
        <v>17</v>
      </c>
      <c r="M66" s="24"/>
      <c r="N66" s="166">
        <f t="shared" si="9"/>
        <v>713.72000000000025</v>
      </c>
      <c r="O66" s="24"/>
      <c r="P66" s="24"/>
      <c r="Q66" s="24"/>
      <c r="R66" s="24"/>
      <c r="S66" s="24"/>
      <c r="T66" s="24"/>
      <c r="U66" s="24"/>
      <c r="V66" s="24"/>
      <c r="X66" s="48"/>
    </row>
    <row r="67" spans="1:24" s="25" customFormat="1" x14ac:dyDescent="0.2">
      <c r="A67" s="328"/>
      <c r="B67" s="57" t="s">
        <v>199</v>
      </c>
      <c r="C67" s="55" t="s">
        <v>128</v>
      </c>
      <c r="D67" s="54" t="s">
        <v>69</v>
      </c>
      <c r="E67" s="203"/>
      <c r="F67" s="121">
        <v>3389.786466</v>
      </c>
      <c r="G67" s="193"/>
      <c r="H67" s="44">
        <v>1.3</v>
      </c>
      <c r="I67" s="121">
        <v>3553</v>
      </c>
      <c r="J67" s="37">
        <f t="shared" si="7"/>
        <v>853.72240580000016</v>
      </c>
      <c r="K67" s="39">
        <f t="shared" si="8"/>
        <v>4406.7224058000002</v>
      </c>
      <c r="L67" s="38">
        <v>17</v>
      </c>
      <c r="M67" s="24"/>
      <c r="N67" s="166">
        <f t="shared" si="9"/>
        <v>597.60568406000004</v>
      </c>
      <c r="O67" s="24"/>
      <c r="P67" s="24"/>
      <c r="Q67" s="24"/>
      <c r="R67" s="24"/>
      <c r="S67" s="24"/>
      <c r="T67" s="24"/>
      <c r="U67" s="24"/>
      <c r="V67" s="24"/>
      <c r="X67" s="48"/>
    </row>
    <row r="68" spans="1:24" s="25" customFormat="1" x14ac:dyDescent="0.2">
      <c r="A68" s="328"/>
      <c r="B68" s="57" t="s">
        <v>201</v>
      </c>
      <c r="C68" s="55" t="s">
        <v>129</v>
      </c>
      <c r="D68" s="54" t="s">
        <v>69</v>
      </c>
      <c r="E68" s="203"/>
      <c r="F68" s="121">
        <v>2430</v>
      </c>
      <c r="G68" s="193"/>
      <c r="H68" s="44">
        <f>I68/F68</f>
        <v>0.34567901234567899</v>
      </c>
      <c r="I68" s="121">
        <v>840</v>
      </c>
      <c r="J68" s="37">
        <f t="shared" si="7"/>
        <v>0</v>
      </c>
      <c r="K68" s="39">
        <f t="shared" si="8"/>
        <v>840</v>
      </c>
      <c r="L68" s="38">
        <v>4</v>
      </c>
      <c r="M68" s="24"/>
      <c r="N68" s="166">
        <f t="shared" si="9"/>
        <v>0</v>
      </c>
      <c r="O68" s="24"/>
      <c r="P68" s="24"/>
      <c r="Q68" s="24"/>
      <c r="R68" s="24"/>
      <c r="S68" s="24"/>
      <c r="T68" s="24"/>
      <c r="U68" s="24"/>
      <c r="V68" s="24"/>
      <c r="X68" s="48"/>
    </row>
    <row r="69" spans="1:24" s="25" customFormat="1" x14ac:dyDescent="0.2">
      <c r="A69" s="328"/>
      <c r="B69" s="57" t="s">
        <v>194</v>
      </c>
      <c r="C69" s="55" t="s">
        <v>175</v>
      </c>
      <c r="D69" s="54" t="s">
        <v>69</v>
      </c>
      <c r="E69" s="203"/>
      <c r="F69" s="121">
        <v>3238.089156</v>
      </c>
      <c r="G69" s="193"/>
      <c r="H69" s="165">
        <f>11387/12150</f>
        <v>0.93720164609053502</v>
      </c>
      <c r="I69" s="121">
        <v>10187</v>
      </c>
      <c r="J69" s="37">
        <f t="shared" si="7"/>
        <v>-7152.2575128088884</v>
      </c>
      <c r="K69" s="39">
        <f t="shared" si="8"/>
        <v>3034.7424871911112</v>
      </c>
      <c r="L69" s="38">
        <v>50</v>
      </c>
      <c r="M69" s="24"/>
      <c r="N69" s="166">
        <f t="shared" si="9"/>
        <v>-5006.5802589662217</v>
      </c>
      <c r="O69" s="24"/>
      <c r="P69" s="24"/>
      <c r="Q69" s="24"/>
      <c r="R69" s="24"/>
      <c r="S69" s="24"/>
      <c r="T69" s="24"/>
      <c r="U69" s="24"/>
      <c r="V69" s="24"/>
      <c r="X69" s="48"/>
    </row>
    <row r="70" spans="1:24" s="25" customFormat="1" x14ac:dyDescent="0.2">
      <c r="A70" s="328"/>
      <c r="B70" s="57" t="s">
        <v>195</v>
      </c>
      <c r="C70" s="55" t="s">
        <v>176</v>
      </c>
      <c r="D70" s="54" t="s">
        <v>69</v>
      </c>
      <c r="E70" s="203"/>
      <c r="F70" s="121">
        <v>2836</v>
      </c>
      <c r="G70" s="193"/>
      <c r="H70" s="44">
        <v>1.1000000000000001</v>
      </c>
      <c r="I70" s="121">
        <v>3074</v>
      </c>
      <c r="J70" s="37">
        <f t="shared" si="7"/>
        <v>45.600000000000364</v>
      </c>
      <c r="K70" s="39">
        <f t="shared" si="8"/>
        <v>3119.6000000000004</v>
      </c>
      <c r="L70" s="38">
        <v>15</v>
      </c>
      <c r="M70" s="24"/>
      <c r="N70" s="166">
        <f t="shared" si="9"/>
        <v>31.920000000000254</v>
      </c>
      <c r="O70" s="24"/>
      <c r="P70" s="24"/>
      <c r="Q70" s="24"/>
      <c r="R70" s="24"/>
      <c r="S70" s="24"/>
      <c r="T70" s="24"/>
      <c r="U70" s="24"/>
      <c r="V70" s="24"/>
      <c r="X70" s="48"/>
    </row>
    <row r="71" spans="1:24" s="25" customFormat="1" x14ac:dyDescent="0.2">
      <c r="A71" s="328"/>
      <c r="B71" s="57" t="s">
        <v>194</v>
      </c>
      <c r="C71" s="55" t="s">
        <v>177</v>
      </c>
      <c r="D71" s="54" t="s">
        <v>69</v>
      </c>
      <c r="E71" s="203"/>
      <c r="F71" s="121">
        <v>12151.534600000001</v>
      </c>
      <c r="G71" s="193"/>
      <c r="H71" s="165">
        <v>0.9</v>
      </c>
      <c r="I71" s="121">
        <v>1592</v>
      </c>
      <c r="J71" s="37">
        <f t="shared" si="7"/>
        <v>9344.3811400000013</v>
      </c>
      <c r="K71" s="39">
        <f t="shared" si="8"/>
        <v>10936.381140000001</v>
      </c>
      <c r="L71" s="38">
        <v>7</v>
      </c>
      <c r="M71" s="24"/>
      <c r="N71" s="166">
        <f t="shared" si="9"/>
        <v>6541.0667980000007</v>
      </c>
      <c r="O71" s="24"/>
      <c r="P71" s="24"/>
      <c r="Q71" s="24"/>
      <c r="R71" s="24"/>
      <c r="S71" s="24"/>
      <c r="T71" s="24"/>
      <c r="U71" s="24"/>
      <c r="V71" s="24"/>
      <c r="X71" s="48"/>
    </row>
    <row r="72" spans="1:24" s="25" customFormat="1" x14ac:dyDescent="0.2">
      <c r="A72" s="328"/>
      <c r="B72" s="57" t="s">
        <v>200</v>
      </c>
      <c r="C72" s="55" t="s">
        <v>859</v>
      </c>
      <c r="D72" s="54" t="s">
        <v>69</v>
      </c>
      <c r="E72" s="203"/>
      <c r="F72" s="121">
        <v>1736</v>
      </c>
      <c r="G72" s="193"/>
      <c r="H72" s="165">
        <v>0.5</v>
      </c>
      <c r="I72" s="121">
        <v>737</v>
      </c>
      <c r="J72" s="37">
        <f t="shared" si="7"/>
        <v>131</v>
      </c>
      <c r="K72" s="39">
        <f t="shared" si="8"/>
        <v>868</v>
      </c>
      <c r="L72" s="38">
        <v>0</v>
      </c>
      <c r="M72" s="24"/>
      <c r="N72" s="166">
        <f t="shared" si="9"/>
        <v>91.699999999999989</v>
      </c>
      <c r="O72" s="24"/>
      <c r="P72" s="24"/>
      <c r="Q72" s="24"/>
      <c r="R72" s="24"/>
      <c r="S72" s="24"/>
      <c r="T72" s="24"/>
      <c r="U72" s="24"/>
      <c r="V72" s="24"/>
      <c r="X72" s="48"/>
    </row>
    <row r="73" spans="1:24" s="25" customFormat="1" x14ac:dyDescent="0.2">
      <c r="A73" s="328"/>
      <c r="B73" s="57" t="s">
        <v>202</v>
      </c>
      <c r="C73" s="55" t="s">
        <v>130</v>
      </c>
      <c r="D73" s="56" t="s">
        <v>193</v>
      </c>
      <c r="E73" s="203"/>
      <c r="F73" s="121">
        <v>1367</v>
      </c>
      <c r="G73" s="193"/>
      <c r="H73" s="44">
        <v>1.5</v>
      </c>
      <c r="I73" s="121">
        <v>1301</v>
      </c>
      <c r="J73" s="37">
        <f t="shared" si="7"/>
        <v>749.5</v>
      </c>
      <c r="K73" s="39">
        <f t="shared" si="8"/>
        <v>2050.5</v>
      </c>
      <c r="L73" s="38">
        <v>3</v>
      </c>
      <c r="M73" s="24"/>
      <c r="N73" s="166">
        <f t="shared" si="9"/>
        <v>524.65</v>
      </c>
      <c r="O73" s="24"/>
      <c r="P73" s="24"/>
      <c r="Q73" s="24"/>
      <c r="R73" s="24"/>
      <c r="S73" s="24"/>
      <c r="T73" s="24"/>
      <c r="U73" s="24"/>
      <c r="V73" s="24"/>
      <c r="X73" s="48"/>
    </row>
    <row r="74" spans="1:24" s="25" customFormat="1" x14ac:dyDescent="0.2">
      <c r="A74" s="328"/>
      <c r="B74" s="57" t="s">
        <v>195</v>
      </c>
      <c r="C74" s="55" t="s">
        <v>131</v>
      </c>
      <c r="D74" s="56" t="s">
        <v>193</v>
      </c>
      <c r="E74" s="203"/>
      <c r="F74" s="121">
        <v>2441.0495420000002</v>
      </c>
      <c r="G74" s="193"/>
      <c r="H74" s="44">
        <v>2.1</v>
      </c>
      <c r="I74" s="121">
        <v>4235</v>
      </c>
      <c r="J74" s="37">
        <v>0</v>
      </c>
      <c r="K74" s="39">
        <f t="shared" si="8"/>
        <v>5126.2040382000005</v>
      </c>
      <c r="L74" s="38">
        <v>6</v>
      </c>
      <c r="M74" s="24"/>
      <c r="N74" s="166">
        <f t="shared" si="9"/>
        <v>0</v>
      </c>
      <c r="O74" s="24"/>
      <c r="P74" s="24"/>
      <c r="Q74" s="24"/>
      <c r="R74" s="24"/>
      <c r="S74" s="24"/>
      <c r="T74" s="24"/>
      <c r="U74" s="24"/>
      <c r="V74" s="24"/>
      <c r="X74" s="48"/>
    </row>
    <row r="75" spans="1:24" s="25" customFormat="1" x14ac:dyDescent="0.2">
      <c r="A75" s="328"/>
      <c r="B75" s="57" t="s">
        <v>195</v>
      </c>
      <c r="C75" s="55" t="s">
        <v>132</v>
      </c>
      <c r="D75" s="56" t="s">
        <v>193</v>
      </c>
      <c r="E75" s="203"/>
      <c r="F75" s="121">
        <v>6064</v>
      </c>
      <c r="G75" s="193"/>
      <c r="H75" s="44">
        <v>2.7</v>
      </c>
      <c r="I75" s="121">
        <v>16083</v>
      </c>
      <c r="J75" s="37">
        <v>0</v>
      </c>
      <c r="K75" s="39">
        <f t="shared" si="8"/>
        <v>16372.800000000001</v>
      </c>
      <c r="L75" s="38">
        <v>23</v>
      </c>
      <c r="M75" s="24"/>
      <c r="N75" s="166">
        <f t="shared" si="9"/>
        <v>0</v>
      </c>
      <c r="O75" s="24"/>
      <c r="P75" s="24"/>
      <c r="Q75" s="24"/>
      <c r="R75" s="24"/>
      <c r="S75" s="24"/>
      <c r="T75" s="24"/>
      <c r="U75" s="24"/>
      <c r="V75" s="24"/>
      <c r="X75" s="48"/>
    </row>
    <row r="76" spans="1:24" s="25" customFormat="1" x14ac:dyDescent="0.2">
      <c r="A76" s="328"/>
      <c r="B76" s="57" t="s">
        <v>194</v>
      </c>
      <c r="C76" s="55" t="s">
        <v>133</v>
      </c>
      <c r="D76" s="56" t="s">
        <v>193</v>
      </c>
      <c r="E76" s="203"/>
      <c r="F76" s="121">
        <v>5206</v>
      </c>
      <c r="G76" s="193"/>
      <c r="H76" s="44">
        <v>1.5</v>
      </c>
      <c r="I76" s="121">
        <v>7552</v>
      </c>
      <c r="J76" s="37">
        <f>K76-I76</f>
        <v>257</v>
      </c>
      <c r="K76" s="39">
        <f t="shared" si="8"/>
        <v>7809</v>
      </c>
      <c r="L76" s="38">
        <v>11</v>
      </c>
      <c r="M76" s="24"/>
      <c r="N76" s="166">
        <f t="shared" si="9"/>
        <v>179.89999999999998</v>
      </c>
      <c r="O76" s="24"/>
      <c r="P76" s="24"/>
      <c r="Q76" s="24"/>
      <c r="R76" s="24"/>
      <c r="S76" s="24"/>
      <c r="T76" s="24"/>
      <c r="U76" s="24"/>
      <c r="V76" s="24"/>
      <c r="X76" s="48"/>
    </row>
    <row r="77" spans="1:24" s="25" customFormat="1" x14ac:dyDescent="0.2">
      <c r="A77" s="328"/>
      <c r="B77" s="57" t="s">
        <v>195</v>
      </c>
      <c r="C77" s="55" t="s">
        <v>134</v>
      </c>
      <c r="D77" s="56" t="s">
        <v>193</v>
      </c>
      <c r="E77" s="203"/>
      <c r="F77" s="121">
        <v>2241.9810149999998</v>
      </c>
      <c r="G77" s="193"/>
      <c r="H77" s="44">
        <v>2</v>
      </c>
      <c r="I77" s="121">
        <v>2094</v>
      </c>
      <c r="J77" s="37">
        <f>K77-I77</f>
        <v>2389.9620299999997</v>
      </c>
      <c r="K77" s="39">
        <f t="shared" si="8"/>
        <v>4483.9620299999997</v>
      </c>
      <c r="L77" s="38">
        <v>3</v>
      </c>
      <c r="M77" s="24"/>
      <c r="N77" s="166">
        <f t="shared" si="9"/>
        <v>1672.9734209999997</v>
      </c>
      <c r="O77" s="24"/>
      <c r="P77" s="24"/>
      <c r="Q77" s="24"/>
      <c r="R77" s="24"/>
      <c r="S77" s="24"/>
      <c r="T77" s="24"/>
      <c r="U77" s="24"/>
      <c r="V77" s="24"/>
      <c r="X77" s="48"/>
    </row>
    <row r="78" spans="1:24" s="25" customFormat="1" x14ac:dyDescent="0.2">
      <c r="A78" s="328"/>
      <c r="B78" s="57" t="s">
        <v>195</v>
      </c>
      <c r="C78" s="55" t="s">
        <v>135</v>
      </c>
      <c r="D78" s="56" t="s">
        <v>193</v>
      </c>
      <c r="E78" s="203"/>
      <c r="F78" s="121">
        <v>2955.0286430000001</v>
      </c>
      <c r="G78" s="193"/>
      <c r="H78" s="44">
        <v>2</v>
      </c>
      <c r="I78" s="121">
        <v>5966</v>
      </c>
      <c r="J78" s="37">
        <v>0</v>
      </c>
      <c r="K78" s="39">
        <f t="shared" si="8"/>
        <v>5910.0572860000002</v>
      </c>
      <c r="L78" s="38">
        <v>9</v>
      </c>
      <c r="M78" s="24"/>
      <c r="N78" s="166">
        <f t="shared" si="9"/>
        <v>0</v>
      </c>
      <c r="O78" s="24"/>
      <c r="P78" s="24"/>
      <c r="Q78" s="24"/>
      <c r="R78" s="24"/>
      <c r="S78" s="24"/>
      <c r="T78" s="24"/>
      <c r="U78" s="24"/>
      <c r="V78" s="24"/>
      <c r="X78" s="48"/>
    </row>
    <row r="79" spans="1:24" s="25" customFormat="1" x14ac:dyDescent="0.2">
      <c r="A79" s="328"/>
      <c r="B79" s="57" t="s">
        <v>195</v>
      </c>
      <c r="C79" s="55" t="s">
        <v>136</v>
      </c>
      <c r="D79" s="56" t="s">
        <v>193</v>
      </c>
      <c r="E79" s="203"/>
      <c r="F79" s="121">
        <v>3233</v>
      </c>
      <c r="G79" s="193"/>
      <c r="H79" s="44">
        <v>2</v>
      </c>
      <c r="I79" s="121">
        <v>5688</v>
      </c>
      <c r="J79" s="37">
        <f>K79-I79</f>
        <v>778</v>
      </c>
      <c r="K79" s="39">
        <f t="shared" si="8"/>
        <v>6466</v>
      </c>
      <c r="L79" s="38">
        <v>8</v>
      </c>
      <c r="M79" s="24"/>
      <c r="N79" s="166">
        <f t="shared" si="9"/>
        <v>544.59999999999991</v>
      </c>
      <c r="O79" s="24"/>
      <c r="P79" s="24"/>
      <c r="Q79" s="24"/>
      <c r="R79" s="24"/>
      <c r="S79" s="24"/>
      <c r="T79" s="24"/>
      <c r="U79" s="24"/>
      <c r="V79" s="24"/>
      <c r="X79" s="48"/>
    </row>
    <row r="80" spans="1:24" s="25" customFormat="1" x14ac:dyDescent="0.2">
      <c r="A80" s="328"/>
      <c r="B80" s="57" t="s">
        <v>195</v>
      </c>
      <c r="C80" s="55" t="s">
        <v>137</v>
      </c>
      <c r="D80" s="56" t="s">
        <v>193</v>
      </c>
      <c r="E80" s="203"/>
      <c r="F80" s="121">
        <v>1660.295118</v>
      </c>
      <c r="G80" s="193"/>
      <c r="H80" s="44">
        <v>2</v>
      </c>
      <c r="I80" s="121">
        <v>2995</v>
      </c>
      <c r="J80" s="37">
        <f>K80-I80</f>
        <v>325.590236</v>
      </c>
      <c r="K80" s="39">
        <f t="shared" si="8"/>
        <v>3320.590236</v>
      </c>
      <c r="L80" s="38">
        <v>4</v>
      </c>
      <c r="M80" s="24"/>
      <c r="N80" s="166">
        <f t="shared" si="9"/>
        <v>227.91316519999998</v>
      </c>
      <c r="O80" s="24"/>
      <c r="P80" s="24"/>
      <c r="Q80" s="24"/>
      <c r="R80" s="24"/>
      <c r="S80" s="24"/>
      <c r="T80" s="24"/>
      <c r="U80" s="24"/>
      <c r="V80" s="24"/>
      <c r="X80" s="48"/>
    </row>
    <row r="81" spans="1:24" s="25" customFormat="1" x14ac:dyDescent="0.2">
      <c r="A81" s="328"/>
      <c r="B81" s="57" t="s">
        <v>200</v>
      </c>
      <c r="C81" s="55" t="s">
        <v>138</v>
      </c>
      <c r="D81" s="56" t="s">
        <v>193</v>
      </c>
      <c r="E81" s="203"/>
      <c r="F81" s="121">
        <v>2987</v>
      </c>
      <c r="G81" s="193"/>
      <c r="H81" s="44">
        <v>0.8</v>
      </c>
      <c r="I81" s="121">
        <v>1775</v>
      </c>
      <c r="J81" s="37">
        <f>K81-I81</f>
        <v>614.59999999999991</v>
      </c>
      <c r="K81" s="39">
        <f t="shared" si="8"/>
        <v>2389.6</v>
      </c>
      <c r="L81" s="38">
        <v>3</v>
      </c>
      <c r="M81" s="24"/>
      <c r="N81" s="166">
        <f t="shared" si="9"/>
        <v>430.21999999999991</v>
      </c>
      <c r="O81" s="24"/>
      <c r="P81" s="24"/>
      <c r="Q81" s="24"/>
      <c r="R81" s="24"/>
      <c r="S81" s="24"/>
      <c r="T81" s="24"/>
      <c r="U81" s="24"/>
      <c r="V81" s="24"/>
      <c r="X81" s="48"/>
    </row>
    <row r="82" spans="1:24" s="25" customFormat="1" x14ac:dyDescent="0.2">
      <c r="A82" s="328"/>
      <c r="B82" s="57" t="s">
        <v>195</v>
      </c>
      <c r="C82" s="55" t="s">
        <v>139</v>
      </c>
      <c r="D82" s="56" t="s">
        <v>193</v>
      </c>
      <c r="E82" s="203"/>
      <c r="F82" s="121">
        <v>2604</v>
      </c>
      <c r="G82" s="193"/>
      <c r="H82" s="44">
        <v>2</v>
      </c>
      <c r="I82" s="121">
        <v>3700</v>
      </c>
      <c r="J82" s="37">
        <f>K82-I82</f>
        <v>1508</v>
      </c>
      <c r="K82" s="39">
        <f t="shared" si="8"/>
        <v>5208</v>
      </c>
      <c r="L82" s="38">
        <v>5</v>
      </c>
      <c r="M82" s="24"/>
      <c r="N82" s="166">
        <f t="shared" si="9"/>
        <v>1055.5999999999999</v>
      </c>
      <c r="O82" s="24"/>
      <c r="P82" s="24"/>
      <c r="Q82" s="24"/>
      <c r="R82" s="24"/>
      <c r="S82" s="24"/>
      <c r="T82" s="24"/>
      <c r="U82" s="24"/>
      <c r="V82" s="24"/>
      <c r="X82" s="48"/>
    </row>
    <row r="83" spans="1:24" s="25" customFormat="1" x14ac:dyDescent="0.2">
      <c r="A83" s="328"/>
      <c r="B83" s="57" t="s">
        <v>200</v>
      </c>
      <c r="C83" s="55" t="s">
        <v>140</v>
      </c>
      <c r="D83" s="56" t="s">
        <v>193</v>
      </c>
      <c r="E83" s="203"/>
      <c r="F83" s="121">
        <v>10474</v>
      </c>
      <c r="G83" s="193"/>
      <c r="H83" s="44">
        <v>0.8</v>
      </c>
      <c r="I83" s="121">
        <v>8274</v>
      </c>
      <c r="J83" s="37">
        <f>K83-I83</f>
        <v>105.20000000000073</v>
      </c>
      <c r="K83" s="39">
        <f t="shared" si="8"/>
        <v>8379.2000000000007</v>
      </c>
      <c r="L83" s="38">
        <v>12</v>
      </c>
      <c r="M83" s="24"/>
      <c r="N83" s="166">
        <f t="shared" si="9"/>
        <v>73.640000000000498</v>
      </c>
      <c r="O83" s="24"/>
      <c r="P83" s="24"/>
      <c r="Q83" s="24"/>
      <c r="R83" s="24"/>
      <c r="S83" s="24"/>
      <c r="T83" s="24"/>
      <c r="U83" s="24"/>
      <c r="V83" s="24"/>
      <c r="X83" s="48"/>
    </row>
    <row r="84" spans="1:24" s="25" customFormat="1" x14ac:dyDescent="0.2">
      <c r="A84" s="328"/>
      <c r="B84" s="57" t="s">
        <v>200</v>
      </c>
      <c r="C84" s="55" t="s">
        <v>141</v>
      </c>
      <c r="D84" s="56" t="s">
        <v>193</v>
      </c>
      <c r="E84" s="203"/>
      <c r="F84" s="121">
        <v>13375.656988000001</v>
      </c>
      <c r="G84" s="193"/>
      <c r="H84" s="44">
        <v>0.8</v>
      </c>
      <c r="I84" s="121">
        <v>12572</v>
      </c>
      <c r="J84" s="37">
        <v>0</v>
      </c>
      <c r="K84" s="39">
        <f t="shared" si="8"/>
        <v>10700.525590400001</v>
      </c>
      <c r="L84" s="38">
        <v>18</v>
      </c>
      <c r="M84" s="24"/>
      <c r="N84" s="166">
        <f t="shared" si="9"/>
        <v>0</v>
      </c>
      <c r="O84" s="24"/>
      <c r="P84" s="24"/>
      <c r="Q84" s="24"/>
      <c r="R84" s="24"/>
      <c r="S84" s="24"/>
      <c r="T84" s="24"/>
      <c r="U84" s="24"/>
      <c r="V84" s="24"/>
      <c r="X84" s="48"/>
    </row>
    <row r="85" spans="1:24" s="25" customFormat="1" x14ac:dyDescent="0.2">
      <c r="A85" s="328"/>
      <c r="B85" s="57" t="s">
        <v>200</v>
      </c>
      <c r="C85" s="55" t="s">
        <v>142</v>
      </c>
      <c r="D85" s="56" t="s">
        <v>193</v>
      </c>
      <c r="E85" s="203"/>
      <c r="F85" s="121">
        <v>26810</v>
      </c>
      <c r="G85" s="193"/>
      <c r="H85" s="44">
        <v>0.8</v>
      </c>
      <c r="I85" s="121">
        <v>20894</v>
      </c>
      <c r="J85" s="37">
        <f>K85-I85</f>
        <v>554</v>
      </c>
      <c r="K85" s="39">
        <f t="shared" si="8"/>
        <v>21448</v>
      </c>
      <c r="L85" s="38">
        <v>31</v>
      </c>
      <c r="M85" s="24"/>
      <c r="N85" s="166">
        <f t="shared" si="9"/>
        <v>387.79999999999995</v>
      </c>
      <c r="O85" s="24"/>
      <c r="P85" s="24"/>
      <c r="Q85" s="24"/>
      <c r="R85" s="24"/>
      <c r="S85" s="24"/>
      <c r="T85" s="24"/>
      <c r="U85" s="24"/>
      <c r="V85" s="24"/>
      <c r="X85" s="48"/>
    </row>
    <row r="86" spans="1:24" s="25" customFormat="1" x14ac:dyDescent="0.2">
      <c r="A86" s="328"/>
      <c r="B86" s="57" t="s">
        <v>202</v>
      </c>
      <c r="C86" s="55" t="s">
        <v>143</v>
      </c>
      <c r="D86" s="56" t="s">
        <v>193</v>
      </c>
      <c r="E86" s="203"/>
      <c r="F86" s="121">
        <v>11718</v>
      </c>
      <c r="G86" s="193"/>
      <c r="H86" s="44">
        <v>0.5</v>
      </c>
      <c r="I86" s="121">
        <v>5859</v>
      </c>
      <c r="J86" s="37">
        <f>K86-I86</f>
        <v>0</v>
      </c>
      <c r="K86" s="39">
        <f t="shared" si="8"/>
        <v>5859</v>
      </c>
      <c r="L86" s="38">
        <v>8</v>
      </c>
      <c r="M86" s="24"/>
      <c r="N86" s="166">
        <f t="shared" si="9"/>
        <v>0</v>
      </c>
      <c r="O86" s="24"/>
      <c r="P86" s="24"/>
      <c r="Q86" s="24"/>
      <c r="R86" s="24"/>
      <c r="S86" s="24"/>
      <c r="T86" s="24"/>
      <c r="U86" s="24"/>
      <c r="V86" s="24"/>
      <c r="X86" s="48"/>
    </row>
    <row r="87" spans="1:24" s="25" customFormat="1" x14ac:dyDescent="0.2">
      <c r="A87" s="328"/>
      <c r="B87" s="57" t="s">
        <v>200</v>
      </c>
      <c r="C87" s="55" t="s">
        <v>144</v>
      </c>
      <c r="D87" s="56" t="s">
        <v>193</v>
      </c>
      <c r="E87" s="203"/>
      <c r="F87" s="121">
        <v>5745</v>
      </c>
      <c r="G87" s="193"/>
      <c r="H87" s="44">
        <v>0.8</v>
      </c>
      <c r="I87" s="121">
        <v>3750</v>
      </c>
      <c r="J87" s="37">
        <f>K87-I87</f>
        <v>846</v>
      </c>
      <c r="K87" s="39">
        <f t="shared" si="8"/>
        <v>4596</v>
      </c>
      <c r="L87" s="38">
        <v>5</v>
      </c>
      <c r="M87" s="24"/>
      <c r="N87" s="166">
        <f t="shared" si="9"/>
        <v>592.19999999999993</v>
      </c>
      <c r="O87" s="24"/>
      <c r="P87" s="24"/>
      <c r="Q87" s="24"/>
      <c r="R87" s="24"/>
      <c r="S87" s="24"/>
      <c r="T87" s="24"/>
      <c r="U87" s="24"/>
      <c r="V87" s="24"/>
      <c r="X87" s="48"/>
    </row>
    <row r="88" spans="1:24" s="25" customFormat="1" x14ac:dyDescent="0.2">
      <c r="A88" s="328"/>
      <c r="B88" s="57" t="s">
        <v>194</v>
      </c>
      <c r="C88" s="55" t="s">
        <v>145</v>
      </c>
      <c r="D88" s="56" t="s">
        <v>193</v>
      </c>
      <c r="E88" s="203"/>
      <c r="F88" s="121">
        <v>13884</v>
      </c>
      <c r="G88" s="193"/>
      <c r="H88" s="44">
        <v>1.6</v>
      </c>
      <c r="I88" s="121">
        <v>22864</v>
      </c>
      <c r="J88" s="37">
        <v>0</v>
      </c>
      <c r="K88" s="39">
        <f t="shared" si="8"/>
        <v>22214.400000000001</v>
      </c>
      <c r="L88" s="38">
        <v>33</v>
      </c>
      <c r="M88" s="24"/>
      <c r="N88" s="166">
        <f t="shared" si="9"/>
        <v>0</v>
      </c>
      <c r="O88" s="24"/>
      <c r="P88" s="24"/>
      <c r="Q88" s="24"/>
      <c r="R88" s="24"/>
      <c r="S88" s="24"/>
      <c r="T88" s="24"/>
      <c r="U88" s="24"/>
      <c r="V88" s="24"/>
      <c r="X88" s="48"/>
    </row>
    <row r="89" spans="1:24" s="25" customFormat="1" x14ac:dyDescent="0.2">
      <c r="A89" s="328"/>
      <c r="B89" s="57" t="s">
        <v>195</v>
      </c>
      <c r="C89" s="55" t="s">
        <v>146</v>
      </c>
      <c r="D89" s="56" t="s">
        <v>193</v>
      </c>
      <c r="E89" s="203"/>
      <c r="F89" s="121">
        <v>7438</v>
      </c>
      <c r="G89" s="193"/>
      <c r="H89" s="44">
        <v>2.2000000000000002</v>
      </c>
      <c r="I89" s="121">
        <v>16363</v>
      </c>
      <c r="J89" s="37">
        <v>0</v>
      </c>
      <c r="K89" s="39">
        <f t="shared" si="8"/>
        <v>16363.600000000002</v>
      </c>
      <c r="L89" s="38">
        <v>24</v>
      </c>
      <c r="M89" s="24"/>
      <c r="N89" s="166">
        <f t="shared" si="9"/>
        <v>0</v>
      </c>
      <c r="O89" s="24"/>
      <c r="P89" s="24"/>
      <c r="Q89" s="24"/>
      <c r="R89" s="24"/>
      <c r="S89" s="24"/>
      <c r="T89" s="24"/>
      <c r="U89" s="24"/>
      <c r="V89" s="24"/>
      <c r="X89" s="48"/>
    </row>
    <row r="90" spans="1:24" s="25" customFormat="1" x14ac:dyDescent="0.2">
      <c r="A90" s="328"/>
      <c r="B90" s="57" t="s">
        <v>195</v>
      </c>
      <c r="C90" s="55" t="s">
        <v>147</v>
      </c>
      <c r="D90" s="56" t="s">
        <v>193</v>
      </c>
      <c r="E90" s="203"/>
      <c r="F90" s="121">
        <v>4268</v>
      </c>
      <c r="G90" s="193"/>
      <c r="H90" s="44">
        <v>2.5</v>
      </c>
      <c r="I90" s="121">
        <v>10669</v>
      </c>
      <c r="J90" s="37">
        <v>0</v>
      </c>
      <c r="K90" s="39">
        <f t="shared" si="8"/>
        <v>10670</v>
      </c>
      <c r="L90" s="38">
        <v>16</v>
      </c>
      <c r="M90" s="24"/>
      <c r="N90" s="166">
        <f t="shared" si="9"/>
        <v>0</v>
      </c>
      <c r="O90" s="24"/>
      <c r="P90" s="24"/>
      <c r="Q90" s="24"/>
      <c r="R90" s="24"/>
      <c r="S90" s="24"/>
      <c r="T90" s="24"/>
      <c r="U90" s="24"/>
      <c r="V90" s="24"/>
      <c r="X90" s="48"/>
    </row>
    <row r="91" spans="1:24" s="25" customFormat="1" x14ac:dyDescent="0.2">
      <c r="A91" s="328"/>
      <c r="B91" s="57" t="s">
        <v>195</v>
      </c>
      <c r="C91" s="55" t="s">
        <v>148</v>
      </c>
      <c r="D91" s="56" t="s">
        <v>193</v>
      </c>
      <c r="E91" s="203"/>
      <c r="F91" s="121">
        <v>2208</v>
      </c>
      <c r="G91" s="193"/>
      <c r="H91" s="44">
        <v>2</v>
      </c>
      <c r="I91" s="121">
        <v>3945</v>
      </c>
      <c r="J91" s="37">
        <f>K91-I91</f>
        <v>471</v>
      </c>
      <c r="K91" s="39">
        <f t="shared" si="8"/>
        <v>4416</v>
      </c>
      <c r="L91" s="38">
        <v>6</v>
      </c>
      <c r="M91" s="24"/>
      <c r="N91" s="166">
        <f t="shared" si="9"/>
        <v>329.7</v>
      </c>
      <c r="O91" s="24"/>
      <c r="P91" s="24"/>
      <c r="Q91" s="24"/>
      <c r="R91" s="24"/>
      <c r="S91" s="24"/>
      <c r="T91" s="24"/>
      <c r="U91" s="24"/>
      <c r="V91" s="24"/>
      <c r="X91" s="48"/>
    </row>
    <row r="92" spans="1:24" s="25" customFormat="1" x14ac:dyDescent="0.2">
      <c r="A92" s="328"/>
      <c r="B92" s="57" t="s">
        <v>195</v>
      </c>
      <c r="C92" s="55" t="s">
        <v>149</v>
      </c>
      <c r="D92" s="56" t="s">
        <v>193</v>
      </c>
      <c r="E92" s="203"/>
      <c r="F92" s="121">
        <v>2178</v>
      </c>
      <c r="G92" s="193"/>
      <c r="H92" s="44">
        <v>2.1</v>
      </c>
      <c r="I92" s="121">
        <v>4575</v>
      </c>
      <c r="J92" s="37">
        <v>0</v>
      </c>
      <c r="K92" s="39">
        <f t="shared" si="8"/>
        <v>4573.8</v>
      </c>
      <c r="L92" s="38">
        <v>7</v>
      </c>
      <c r="M92" s="24"/>
      <c r="N92" s="166">
        <f t="shared" si="9"/>
        <v>0</v>
      </c>
      <c r="O92" s="24"/>
      <c r="P92" s="24"/>
      <c r="Q92" s="24"/>
      <c r="R92" s="24"/>
      <c r="S92" s="24"/>
      <c r="T92" s="24"/>
      <c r="U92" s="24"/>
      <c r="V92" s="24"/>
      <c r="X92" s="48"/>
    </row>
    <row r="93" spans="1:24" s="25" customFormat="1" x14ac:dyDescent="0.2">
      <c r="A93" s="328"/>
      <c r="B93" s="57" t="s">
        <v>195</v>
      </c>
      <c r="C93" s="55" t="s">
        <v>150</v>
      </c>
      <c r="D93" s="56" t="s">
        <v>193</v>
      </c>
      <c r="E93" s="203"/>
      <c r="F93" s="121">
        <v>4704</v>
      </c>
      <c r="G93" s="193"/>
      <c r="H93" s="44">
        <v>2</v>
      </c>
      <c r="I93" s="121">
        <v>8553</v>
      </c>
      <c r="J93" s="37">
        <f t="shared" ref="J93:J101" si="10">K93-I93</f>
        <v>855</v>
      </c>
      <c r="K93" s="39">
        <f t="shared" ref="K93:K124" si="11">F93*H93</f>
        <v>9408</v>
      </c>
      <c r="L93" s="38">
        <v>12</v>
      </c>
      <c r="M93" s="24"/>
      <c r="N93" s="166">
        <f t="shared" ref="N93:N124" si="12">J93*0.7</f>
        <v>598.5</v>
      </c>
      <c r="O93" s="24"/>
      <c r="P93" s="24"/>
      <c r="Q93" s="24"/>
      <c r="R93" s="24"/>
      <c r="S93" s="24"/>
      <c r="T93" s="24"/>
      <c r="U93" s="24"/>
      <c r="V93" s="24"/>
      <c r="X93" s="48"/>
    </row>
    <row r="94" spans="1:24" s="25" customFormat="1" x14ac:dyDescent="0.2">
      <c r="A94" s="328"/>
      <c r="B94" s="57" t="s">
        <v>195</v>
      </c>
      <c r="C94" s="55" t="s">
        <v>151</v>
      </c>
      <c r="D94" s="56" t="s">
        <v>193</v>
      </c>
      <c r="E94" s="203"/>
      <c r="F94" s="121">
        <v>4739</v>
      </c>
      <c r="G94" s="193"/>
      <c r="H94" s="44">
        <v>2.1</v>
      </c>
      <c r="I94" s="121">
        <v>9951</v>
      </c>
      <c r="J94" s="37">
        <f t="shared" si="10"/>
        <v>0.8999999999996362</v>
      </c>
      <c r="K94" s="39">
        <f t="shared" si="11"/>
        <v>9951.9</v>
      </c>
      <c r="L94" s="38">
        <v>15</v>
      </c>
      <c r="M94" s="24"/>
      <c r="N94" s="166">
        <f t="shared" si="12"/>
        <v>0.62999999999974532</v>
      </c>
      <c r="O94" s="24"/>
      <c r="P94" s="24"/>
      <c r="Q94" s="24"/>
      <c r="R94" s="24"/>
      <c r="S94" s="24"/>
      <c r="T94" s="24"/>
      <c r="U94" s="24"/>
      <c r="V94" s="24"/>
      <c r="X94" s="48"/>
    </row>
    <row r="95" spans="1:24" s="25" customFormat="1" x14ac:dyDescent="0.2">
      <c r="A95" s="328"/>
      <c r="B95" s="57" t="s">
        <v>195</v>
      </c>
      <c r="C95" s="55" t="s">
        <v>152</v>
      </c>
      <c r="D95" s="56" t="s">
        <v>193</v>
      </c>
      <c r="E95" s="203"/>
      <c r="F95" s="121">
        <v>1158</v>
      </c>
      <c r="G95" s="193"/>
      <c r="H95" s="44">
        <v>2</v>
      </c>
      <c r="I95" s="121">
        <v>790</v>
      </c>
      <c r="J95" s="37">
        <f t="shared" si="10"/>
        <v>1526</v>
      </c>
      <c r="K95" s="39">
        <f t="shared" si="11"/>
        <v>2316</v>
      </c>
      <c r="L95" s="38">
        <v>1</v>
      </c>
      <c r="M95" s="24"/>
      <c r="N95" s="166">
        <f t="shared" si="12"/>
        <v>1068.2</v>
      </c>
      <c r="O95" s="24"/>
      <c r="P95" s="24"/>
      <c r="Q95" s="24"/>
      <c r="R95" s="24"/>
      <c r="S95" s="24"/>
      <c r="T95" s="24"/>
      <c r="U95" s="24"/>
      <c r="V95" s="24"/>
      <c r="X95" s="48"/>
    </row>
    <row r="96" spans="1:24" s="25" customFormat="1" x14ac:dyDescent="0.2">
      <c r="A96" s="328"/>
      <c r="B96" s="57" t="s">
        <v>195</v>
      </c>
      <c r="C96" s="55" t="s">
        <v>153</v>
      </c>
      <c r="D96" s="56" t="s">
        <v>193</v>
      </c>
      <c r="E96" s="203"/>
      <c r="F96" s="121">
        <v>1160</v>
      </c>
      <c r="G96" s="193"/>
      <c r="H96" s="44">
        <v>2</v>
      </c>
      <c r="I96" s="121">
        <v>2320</v>
      </c>
      <c r="J96" s="37">
        <f t="shared" si="10"/>
        <v>0</v>
      </c>
      <c r="K96" s="39">
        <f t="shared" si="11"/>
        <v>2320</v>
      </c>
      <c r="L96" s="38">
        <v>3</v>
      </c>
      <c r="M96" s="24"/>
      <c r="N96" s="166">
        <f t="shared" si="12"/>
        <v>0</v>
      </c>
      <c r="O96" s="24"/>
      <c r="P96" s="24"/>
      <c r="Q96" s="24"/>
      <c r="R96" s="24"/>
      <c r="S96" s="24"/>
      <c r="T96" s="24"/>
      <c r="U96" s="24"/>
      <c r="V96" s="24"/>
      <c r="X96" s="48"/>
    </row>
    <row r="97" spans="1:24" s="25" customFormat="1" x14ac:dyDescent="0.2">
      <c r="A97" s="328"/>
      <c r="B97" s="57" t="s">
        <v>200</v>
      </c>
      <c r="C97" s="55" t="s">
        <v>154</v>
      </c>
      <c r="D97" s="56" t="s">
        <v>193</v>
      </c>
      <c r="E97" s="203"/>
      <c r="F97" s="121">
        <v>9292</v>
      </c>
      <c r="G97" s="193"/>
      <c r="H97" s="44">
        <v>1</v>
      </c>
      <c r="I97" s="121">
        <v>7460</v>
      </c>
      <c r="J97" s="37">
        <f t="shared" si="10"/>
        <v>1832</v>
      </c>
      <c r="K97" s="39">
        <f t="shared" si="11"/>
        <v>9292</v>
      </c>
      <c r="L97" s="38">
        <v>11</v>
      </c>
      <c r="M97" s="24"/>
      <c r="N97" s="166">
        <f t="shared" si="12"/>
        <v>1282.3999999999999</v>
      </c>
      <c r="O97" s="24"/>
      <c r="P97" s="24"/>
      <c r="Q97" s="24"/>
      <c r="R97" s="24"/>
      <c r="S97" s="24"/>
      <c r="T97" s="24"/>
      <c r="U97" s="24"/>
      <c r="V97" s="24"/>
      <c r="X97" s="48"/>
    </row>
    <row r="98" spans="1:24" s="25" customFormat="1" x14ac:dyDescent="0.2">
      <c r="A98" s="328"/>
      <c r="B98" s="57" t="s">
        <v>195</v>
      </c>
      <c r="C98" s="55" t="s">
        <v>155</v>
      </c>
      <c r="D98" s="56" t="s">
        <v>193</v>
      </c>
      <c r="E98" s="203"/>
      <c r="F98" s="121">
        <v>1251.8161270000001</v>
      </c>
      <c r="G98" s="193"/>
      <c r="H98" s="44">
        <v>2</v>
      </c>
      <c r="I98" s="121">
        <v>0</v>
      </c>
      <c r="J98" s="37">
        <f t="shared" si="10"/>
        <v>2503.6322540000001</v>
      </c>
      <c r="K98" s="39">
        <f t="shared" si="11"/>
        <v>2503.6322540000001</v>
      </c>
      <c r="L98" s="38">
        <v>0</v>
      </c>
      <c r="M98" s="24"/>
      <c r="N98" s="166">
        <f t="shared" si="12"/>
        <v>1752.5425777999999</v>
      </c>
      <c r="O98" s="24"/>
      <c r="P98" s="24"/>
      <c r="Q98" s="24"/>
      <c r="R98" s="24"/>
      <c r="S98" s="24"/>
      <c r="T98" s="24"/>
      <c r="U98" s="24"/>
      <c r="V98" s="24"/>
      <c r="X98" s="48"/>
    </row>
    <row r="99" spans="1:24" s="25" customFormat="1" x14ac:dyDescent="0.2">
      <c r="A99" s="328"/>
      <c r="B99" s="57" t="s">
        <v>195</v>
      </c>
      <c r="C99" s="55" t="s">
        <v>156</v>
      </c>
      <c r="D99" s="56" t="s">
        <v>193</v>
      </c>
      <c r="E99" s="203"/>
      <c r="F99" s="121">
        <v>7321.0344770000002</v>
      </c>
      <c r="G99" s="193"/>
      <c r="H99" s="165">
        <f>20914/7303</f>
        <v>2.8637546213884706</v>
      </c>
      <c r="I99" s="121">
        <v>20914</v>
      </c>
      <c r="J99" s="37">
        <f t="shared" si="10"/>
        <v>51.646316853075405</v>
      </c>
      <c r="K99" s="39">
        <f t="shared" si="11"/>
        <v>20965.646316853075</v>
      </c>
      <c r="L99" s="38">
        <v>31</v>
      </c>
      <c r="M99" s="24"/>
      <c r="N99" s="166">
        <f t="shared" si="12"/>
        <v>36.152421797152783</v>
      </c>
      <c r="O99" s="24"/>
      <c r="P99" s="24"/>
      <c r="Q99" s="24"/>
      <c r="R99" s="24"/>
      <c r="S99" s="24"/>
      <c r="T99" s="24"/>
      <c r="U99" s="24"/>
      <c r="V99" s="24"/>
      <c r="X99" s="48"/>
    </row>
    <row r="100" spans="1:24" s="25" customFormat="1" x14ac:dyDescent="0.2">
      <c r="A100" s="328"/>
      <c r="B100" s="57" t="s">
        <v>195</v>
      </c>
      <c r="C100" s="55" t="s">
        <v>157</v>
      </c>
      <c r="D100" s="56" t="s">
        <v>193</v>
      </c>
      <c r="E100" s="203"/>
      <c r="F100" s="121">
        <v>4925</v>
      </c>
      <c r="G100" s="193"/>
      <c r="H100" s="44">
        <v>2</v>
      </c>
      <c r="I100" s="121">
        <v>9264</v>
      </c>
      <c r="J100" s="37">
        <f t="shared" si="10"/>
        <v>586</v>
      </c>
      <c r="K100" s="39">
        <f t="shared" si="11"/>
        <v>9850</v>
      </c>
      <c r="L100" s="38">
        <v>14</v>
      </c>
      <c r="M100" s="24"/>
      <c r="N100" s="166">
        <f t="shared" si="12"/>
        <v>410.2</v>
      </c>
      <c r="O100" s="24"/>
      <c r="P100" s="24"/>
      <c r="Q100" s="24"/>
      <c r="R100" s="24"/>
      <c r="S100" s="24"/>
      <c r="T100" s="24"/>
      <c r="U100" s="24"/>
      <c r="V100" s="24"/>
      <c r="X100" s="48"/>
    </row>
    <row r="101" spans="1:24" s="25" customFormat="1" x14ac:dyDescent="0.2">
      <c r="A101" s="328"/>
      <c r="B101" s="57" t="s">
        <v>194</v>
      </c>
      <c r="C101" s="55" t="s">
        <v>158</v>
      </c>
      <c r="D101" s="56" t="s">
        <v>193</v>
      </c>
      <c r="E101" s="203"/>
      <c r="F101" s="121">
        <v>4115</v>
      </c>
      <c r="G101" s="193"/>
      <c r="H101" s="44">
        <v>1</v>
      </c>
      <c r="I101" s="121">
        <v>2900</v>
      </c>
      <c r="J101" s="37">
        <f t="shared" si="10"/>
        <v>1215</v>
      </c>
      <c r="K101" s="39">
        <f t="shared" si="11"/>
        <v>4115</v>
      </c>
      <c r="L101" s="38">
        <v>4</v>
      </c>
      <c r="M101" s="24"/>
      <c r="N101" s="166">
        <f t="shared" si="12"/>
        <v>850.5</v>
      </c>
      <c r="O101" s="24"/>
      <c r="P101" s="24"/>
      <c r="Q101" s="24"/>
      <c r="R101" s="24"/>
      <c r="S101" s="24"/>
      <c r="T101" s="24"/>
      <c r="U101" s="24"/>
      <c r="V101" s="24"/>
      <c r="X101" s="48"/>
    </row>
    <row r="102" spans="1:24" s="25" customFormat="1" x14ac:dyDescent="0.2">
      <c r="A102" s="328"/>
      <c r="B102" s="57" t="s">
        <v>194</v>
      </c>
      <c r="C102" s="55" t="s">
        <v>159</v>
      </c>
      <c r="D102" s="56" t="s">
        <v>193</v>
      </c>
      <c r="E102" s="203"/>
      <c r="F102" s="121">
        <v>2539</v>
      </c>
      <c r="G102" s="193"/>
      <c r="H102" s="44">
        <v>1</v>
      </c>
      <c r="I102" s="121">
        <v>3595</v>
      </c>
      <c r="J102" s="37">
        <v>0</v>
      </c>
      <c r="K102" s="39">
        <f t="shared" si="11"/>
        <v>2539</v>
      </c>
      <c r="L102" s="38">
        <v>5</v>
      </c>
      <c r="M102" s="24"/>
      <c r="N102" s="166">
        <f t="shared" si="12"/>
        <v>0</v>
      </c>
      <c r="O102" s="24"/>
      <c r="P102" s="24"/>
      <c r="Q102" s="24"/>
      <c r="R102" s="24"/>
      <c r="S102" s="24"/>
      <c r="T102" s="24"/>
      <c r="U102" s="24"/>
      <c r="V102" s="24"/>
      <c r="X102" s="48"/>
    </row>
    <row r="103" spans="1:24" s="25" customFormat="1" x14ac:dyDescent="0.2">
      <c r="A103" s="328"/>
      <c r="B103" s="57" t="s">
        <v>194</v>
      </c>
      <c r="C103" s="55" t="s">
        <v>160</v>
      </c>
      <c r="D103" s="56" t="s">
        <v>193</v>
      </c>
      <c r="E103" s="203"/>
      <c r="F103" s="121">
        <v>4140</v>
      </c>
      <c r="G103" s="193"/>
      <c r="H103" s="44">
        <v>1</v>
      </c>
      <c r="I103" s="121">
        <v>7450</v>
      </c>
      <c r="J103" s="37">
        <v>0</v>
      </c>
      <c r="K103" s="39">
        <f t="shared" si="11"/>
        <v>4140</v>
      </c>
      <c r="L103" s="38">
        <v>11</v>
      </c>
      <c r="M103" s="24"/>
      <c r="N103" s="166">
        <f t="shared" si="12"/>
        <v>0</v>
      </c>
      <c r="O103" s="24"/>
      <c r="P103" s="24"/>
      <c r="Q103" s="24"/>
      <c r="R103" s="24"/>
      <c r="S103" s="24"/>
      <c r="T103" s="24"/>
      <c r="U103" s="24"/>
      <c r="V103" s="24"/>
      <c r="X103" s="48"/>
    </row>
    <row r="104" spans="1:24" s="25" customFormat="1" x14ac:dyDescent="0.2">
      <c r="A104" s="328"/>
      <c r="B104" s="57" t="s">
        <v>194</v>
      </c>
      <c r="C104" s="55" t="s">
        <v>161</v>
      </c>
      <c r="D104" s="56" t="s">
        <v>193</v>
      </c>
      <c r="E104" s="203"/>
      <c r="F104" s="121">
        <v>3587.6105229999998</v>
      </c>
      <c r="G104" s="193"/>
      <c r="H104" s="44">
        <v>1.3</v>
      </c>
      <c r="I104" s="121">
        <v>3190</v>
      </c>
      <c r="J104" s="37">
        <v>0</v>
      </c>
      <c r="K104" s="39">
        <f t="shared" si="11"/>
        <v>4663.8936799000003</v>
      </c>
      <c r="L104" s="38">
        <v>5</v>
      </c>
      <c r="M104" s="24"/>
      <c r="N104" s="166">
        <f t="shared" si="12"/>
        <v>0</v>
      </c>
      <c r="O104" s="24"/>
      <c r="P104" s="24"/>
      <c r="Q104" s="24"/>
      <c r="R104" s="24"/>
      <c r="S104" s="24"/>
      <c r="T104" s="24"/>
      <c r="U104" s="24"/>
      <c r="V104" s="24"/>
      <c r="X104" s="48"/>
    </row>
    <row r="105" spans="1:24" s="25" customFormat="1" x14ac:dyDescent="0.2">
      <c r="A105" s="328"/>
      <c r="B105" s="57" t="s">
        <v>194</v>
      </c>
      <c r="C105" s="55" t="s">
        <v>162</v>
      </c>
      <c r="D105" s="56" t="s">
        <v>193</v>
      </c>
      <c r="E105" s="203"/>
      <c r="F105" s="121">
        <v>7734</v>
      </c>
      <c r="G105" s="193"/>
      <c r="H105" s="44">
        <v>1.5</v>
      </c>
      <c r="I105" s="121">
        <v>10853</v>
      </c>
      <c r="J105" s="37">
        <f>K105-I105</f>
        <v>748</v>
      </c>
      <c r="K105" s="39">
        <f t="shared" si="11"/>
        <v>11601</v>
      </c>
      <c r="L105" s="38">
        <v>16</v>
      </c>
      <c r="M105" s="24"/>
      <c r="N105" s="166">
        <f t="shared" si="12"/>
        <v>523.6</v>
      </c>
      <c r="O105" s="24"/>
      <c r="P105" s="24"/>
      <c r="Q105" s="24"/>
      <c r="R105" s="24"/>
      <c r="S105" s="24"/>
      <c r="T105" s="24"/>
      <c r="U105" s="24"/>
      <c r="V105" s="24"/>
      <c r="X105" s="48"/>
    </row>
    <row r="106" spans="1:24" s="25" customFormat="1" x14ac:dyDescent="0.2">
      <c r="A106" s="328"/>
      <c r="B106" s="57" t="s">
        <v>194</v>
      </c>
      <c r="C106" s="55" t="s">
        <v>163</v>
      </c>
      <c r="D106" s="56" t="s">
        <v>193</v>
      </c>
      <c r="E106" s="203"/>
      <c r="F106" s="121">
        <v>8499</v>
      </c>
      <c r="G106" s="193"/>
      <c r="H106" s="44">
        <v>1</v>
      </c>
      <c r="I106" s="121">
        <v>8391</v>
      </c>
      <c r="J106" s="37">
        <f>K106-I106</f>
        <v>108</v>
      </c>
      <c r="K106" s="39">
        <f t="shared" si="11"/>
        <v>8499</v>
      </c>
      <c r="L106" s="38">
        <v>12</v>
      </c>
      <c r="M106" s="24"/>
      <c r="N106" s="166">
        <f t="shared" si="12"/>
        <v>75.599999999999994</v>
      </c>
      <c r="O106" s="24"/>
      <c r="P106" s="24"/>
      <c r="Q106" s="24"/>
      <c r="R106" s="24"/>
      <c r="S106" s="24"/>
      <c r="T106" s="24"/>
      <c r="U106" s="24"/>
      <c r="V106" s="24"/>
      <c r="X106" s="48"/>
    </row>
    <row r="107" spans="1:24" s="25" customFormat="1" x14ac:dyDescent="0.2">
      <c r="A107" s="328"/>
      <c r="B107" s="57" t="s">
        <v>194</v>
      </c>
      <c r="C107" s="55" t="s">
        <v>164</v>
      </c>
      <c r="D107" s="56" t="s">
        <v>193</v>
      </c>
      <c r="E107" s="203"/>
      <c r="F107" s="121">
        <v>8756</v>
      </c>
      <c r="G107" s="193"/>
      <c r="H107" s="44">
        <v>2</v>
      </c>
      <c r="I107" s="121">
        <v>17482</v>
      </c>
      <c r="J107" s="37">
        <v>0</v>
      </c>
      <c r="K107" s="39">
        <f t="shared" si="11"/>
        <v>17512</v>
      </c>
      <c r="L107" s="38">
        <v>26</v>
      </c>
      <c r="M107" s="24"/>
      <c r="N107" s="166">
        <f t="shared" si="12"/>
        <v>0</v>
      </c>
      <c r="O107" s="24"/>
      <c r="P107" s="24"/>
      <c r="Q107" s="24"/>
      <c r="R107" s="24"/>
      <c r="S107" s="24"/>
      <c r="T107" s="24"/>
      <c r="U107" s="24"/>
      <c r="V107" s="24"/>
      <c r="X107" s="48"/>
    </row>
    <row r="108" spans="1:24" s="25" customFormat="1" x14ac:dyDescent="0.2">
      <c r="A108" s="328"/>
      <c r="B108" s="57" t="s">
        <v>194</v>
      </c>
      <c r="C108" s="55" t="s">
        <v>165</v>
      </c>
      <c r="D108" s="56" t="s">
        <v>193</v>
      </c>
      <c r="E108" s="203"/>
      <c r="F108" s="121">
        <v>4293</v>
      </c>
      <c r="G108" s="193"/>
      <c r="H108" s="44">
        <v>1.9</v>
      </c>
      <c r="I108" s="121">
        <v>7995</v>
      </c>
      <c r="J108" s="37">
        <v>0</v>
      </c>
      <c r="K108" s="39">
        <f t="shared" si="11"/>
        <v>8156.7</v>
      </c>
      <c r="L108" s="38">
        <v>12</v>
      </c>
      <c r="M108" s="24"/>
      <c r="N108" s="166">
        <f t="shared" si="12"/>
        <v>0</v>
      </c>
      <c r="O108" s="24"/>
      <c r="P108" s="24"/>
      <c r="Q108" s="24"/>
      <c r="R108" s="24"/>
      <c r="S108" s="24"/>
      <c r="T108" s="24"/>
      <c r="U108" s="24"/>
      <c r="V108" s="24"/>
      <c r="X108" s="48"/>
    </row>
    <row r="109" spans="1:24" s="25" customFormat="1" x14ac:dyDescent="0.2">
      <c r="A109" s="328"/>
      <c r="B109" s="57" t="s">
        <v>194</v>
      </c>
      <c r="C109" s="55" t="s">
        <v>166</v>
      </c>
      <c r="D109" s="56" t="s">
        <v>193</v>
      </c>
      <c r="E109" s="203"/>
      <c r="F109" s="121">
        <v>1323</v>
      </c>
      <c r="G109" s="193"/>
      <c r="H109" s="44">
        <v>4.9000000000000004</v>
      </c>
      <c r="I109" s="121">
        <v>6520</v>
      </c>
      <c r="J109" s="37">
        <v>0</v>
      </c>
      <c r="K109" s="39">
        <f t="shared" si="11"/>
        <v>6482.7000000000007</v>
      </c>
      <c r="L109" s="38">
        <v>0</v>
      </c>
      <c r="M109" s="24"/>
      <c r="N109" s="166">
        <f t="shared" si="12"/>
        <v>0</v>
      </c>
      <c r="O109" s="24"/>
      <c r="P109" s="24"/>
      <c r="Q109" s="24"/>
      <c r="R109" s="24"/>
      <c r="S109" s="24"/>
      <c r="T109" s="24"/>
      <c r="U109" s="24"/>
      <c r="V109" s="24"/>
      <c r="X109" s="48"/>
    </row>
    <row r="110" spans="1:24" s="25" customFormat="1" x14ac:dyDescent="0.2">
      <c r="A110" s="328"/>
      <c r="B110" s="57" t="s">
        <v>194</v>
      </c>
      <c r="C110" s="55" t="s">
        <v>167</v>
      </c>
      <c r="D110" s="56" t="s">
        <v>193</v>
      </c>
      <c r="E110" s="203"/>
      <c r="F110" s="121">
        <v>5289</v>
      </c>
      <c r="G110" s="193"/>
      <c r="H110" s="44">
        <v>2.1</v>
      </c>
      <c r="I110" s="121">
        <v>11250</v>
      </c>
      <c r="J110" s="37">
        <v>0</v>
      </c>
      <c r="K110" s="39">
        <f t="shared" si="11"/>
        <v>11106.9</v>
      </c>
      <c r="L110" s="38">
        <v>26</v>
      </c>
      <c r="M110" s="24"/>
      <c r="N110" s="166">
        <f t="shared" si="12"/>
        <v>0</v>
      </c>
      <c r="O110" s="24"/>
      <c r="P110" s="24"/>
      <c r="Q110" s="24"/>
      <c r="R110" s="24"/>
      <c r="S110" s="24"/>
      <c r="T110" s="24"/>
      <c r="U110" s="24"/>
      <c r="V110" s="24"/>
      <c r="X110" s="48"/>
    </row>
    <row r="111" spans="1:24" s="25" customFormat="1" x14ac:dyDescent="0.2">
      <c r="A111" s="328"/>
      <c r="B111" s="57" t="s">
        <v>194</v>
      </c>
      <c r="C111" s="55" t="s">
        <v>168</v>
      </c>
      <c r="D111" s="56" t="s">
        <v>193</v>
      </c>
      <c r="E111" s="203"/>
      <c r="F111" s="121">
        <v>2519</v>
      </c>
      <c r="G111" s="193"/>
      <c r="H111" s="44">
        <v>2.2000000000000002</v>
      </c>
      <c r="I111" s="121">
        <v>5636</v>
      </c>
      <c r="J111" s="37">
        <v>0</v>
      </c>
      <c r="K111" s="39">
        <f t="shared" si="11"/>
        <v>5541.8</v>
      </c>
      <c r="L111" s="38">
        <v>8</v>
      </c>
      <c r="M111" s="24"/>
      <c r="N111" s="166">
        <f t="shared" si="12"/>
        <v>0</v>
      </c>
      <c r="O111" s="24"/>
      <c r="P111" s="24"/>
      <c r="Q111" s="24"/>
      <c r="R111" s="24"/>
      <c r="S111" s="24"/>
      <c r="T111" s="24"/>
      <c r="U111" s="24"/>
      <c r="V111" s="24"/>
      <c r="X111" s="48"/>
    </row>
    <row r="112" spans="1:24" s="25" customFormat="1" x14ac:dyDescent="0.2">
      <c r="A112" s="328"/>
      <c r="B112" s="57" t="s">
        <v>194</v>
      </c>
      <c r="C112" s="55" t="s">
        <v>169</v>
      </c>
      <c r="D112" s="56" t="s">
        <v>193</v>
      </c>
      <c r="E112" s="203"/>
      <c r="F112" s="121">
        <v>4505</v>
      </c>
      <c r="G112" s="193"/>
      <c r="H112" s="44">
        <v>2.4</v>
      </c>
      <c r="I112" s="121">
        <v>10812</v>
      </c>
      <c r="J112" s="37">
        <f>K112-I112</f>
        <v>0</v>
      </c>
      <c r="K112" s="39">
        <f t="shared" si="11"/>
        <v>10812</v>
      </c>
      <c r="L112" s="38">
        <v>16</v>
      </c>
      <c r="M112" s="24"/>
      <c r="N112" s="166">
        <f t="shared" si="12"/>
        <v>0</v>
      </c>
      <c r="O112" s="24"/>
      <c r="P112" s="24"/>
      <c r="Q112" s="24"/>
      <c r="R112" s="24"/>
      <c r="S112" s="24"/>
      <c r="T112" s="24"/>
      <c r="U112" s="24"/>
      <c r="V112" s="24"/>
      <c r="X112" s="48"/>
    </row>
    <row r="113" spans="1:24" s="25" customFormat="1" x14ac:dyDescent="0.2">
      <c r="A113" s="328"/>
      <c r="B113" s="57" t="s">
        <v>194</v>
      </c>
      <c r="C113" s="55" t="s">
        <v>170</v>
      </c>
      <c r="D113" s="56" t="s">
        <v>193</v>
      </c>
      <c r="E113" s="203"/>
      <c r="F113" s="121">
        <v>3223</v>
      </c>
      <c r="G113" s="193"/>
      <c r="H113" s="44">
        <v>2.5</v>
      </c>
      <c r="I113" s="121">
        <v>8058</v>
      </c>
      <c r="J113" s="37">
        <v>0</v>
      </c>
      <c r="K113" s="39">
        <f t="shared" si="11"/>
        <v>8057.5</v>
      </c>
      <c r="L113" s="38">
        <v>12</v>
      </c>
      <c r="M113" s="24"/>
      <c r="N113" s="166">
        <f t="shared" si="12"/>
        <v>0</v>
      </c>
      <c r="O113" s="24"/>
      <c r="P113" s="24"/>
      <c r="Q113" s="24"/>
      <c r="R113" s="24"/>
      <c r="S113" s="24"/>
      <c r="T113" s="24"/>
      <c r="U113" s="24"/>
      <c r="V113" s="24"/>
      <c r="X113" s="48"/>
    </row>
    <row r="114" spans="1:24" s="25" customFormat="1" x14ac:dyDescent="0.2">
      <c r="A114" s="328"/>
      <c r="B114" s="57" t="s">
        <v>194</v>
      </c>
      <c r="C114" s="55" t="s">
        <v>171</v>
      </c>
      <c r="D114" s="56" t="s">
        <v>193</v>
      </c>
      <c r="E114" s="203"/>
      <c r="F114" s="121">
        <v>31108</v>
      </c>
      <c r="G114" s="193"/>
      <c r="H114" s="44">
        <v>1.3</v>
      </c>
      <c r="I114" s="121">
        <v>40440</v>
      </c>
      <c r="J114" s="37">
        <v>0</v>
      </c>
      <c r="K114" s="39">
        <f t="shared" si="11"/>
        <v>40440.400000000001</v>
      </c>
      <c r="L114" s="38">
        <v>59</v>
      </c>
      <c r="M114" s="24"/>
      <c r="N114" s="166">
        <f t="shared" si="12"/>
        <v>0</v>
      </c>
      <c r="O114" s="24"/>
      <c r="P114" s="24"/>
      <c r="Q114" s="24"/>
      <c r="R114" s="24"/>
      <c r="S114" s="24"/>
      <c r="T114" s="24"/>
      <c r="U114" s="24"/>
      <c r="V114" s="24"/>
      <c r="X114" s="48"/>
    </row>
    <row r="115" spans="1:24" s="25" customFormat="1" x14ac:dyDescent="0.2">
      <c r="A115" s="328"/>
      <c r="B115" s="57" t="s">
        <v>200</v>
      </c>
      <c r="C115" s="55" t="s">
        <v>172</v>
      </c>
      <c r="D115" s="56" t="s">
        <v>193</v>
      </c>
      <c r="E115" s="203"/>
      <c r="F115" s="121">
        <v>6326</v>
      </c>
      <c r="G115" s="193"/>
      <c r="H115" s="44">
        <v>0.8</v>
      </c>
      <c r="I115" s="121">
        <v>5086</v>
      </c>
      <c r="J115" s="37">
        <v>0</v>
      </c>
      <c r="K115" s="39">
        <f t="shared" si="11"/>
        <v>5060.8</v>
      </c>
      <c r="L115" s="38">
        <v>7</v>
      </c>
      <c r="M115" s="24"/>
      <c r="N115" s="166">
        <f t="shared" si="12"/>
        <v>0</v>
      </c>
      <c r="O115" s="24"/>
      <c r="P115" s="24"/>
      <c r="Q115" s="24"/>
      <c r="R115" s="24"/>
      <c r="S115" s="24"/>
      <c r="T115" s="24"/>
      <c r="U115" s="24"/>
      <c r="V115" s="24"/>
      <c r="X115" s="48"/>
    </row>
    <row r="116" spans="1:24" s="25" customFormat="1" x14ac:dyDescent="0.2">
      <c r="A116" s="328"/>
      <c r="B116" s="57" t="s">
        <v>200</v>
      </c>
      <c r="C116" s="55" t="s">
        <v>173</v>
      </c>
      <c r="D116" s="56" t="s">
        <v>193</v>
      </c>
      <c r="E116" s="203"/>
      <c r="F116" s="121">
        <v>6295</v>
      </c>
      <c r="G116" s="193"/>
      <c r="H116" s="44">
        <v>1</v>
      </c>
      <c r="I116" s="121">
        <v>5053</v>
      </c>
      <c r="J116" s="37">
        <f>K116-I116</f>
        <v>1242</v>
      </c>
      <c r="K116" s="39">
        <f t="shared" si="11"/>
        <v>6295</v>
      </c>
      <c r="L116" s="38">
        <v>7</v>
      </c>
      <c r="M116" s="24"/>
      <c r="N116" s="166">
        <f t="shared" si="12"/>
        <v>869.4</v>
      </c>
      <c r="O116" s="24"/>
      <c r="P116" s="24"/>
      <c r="Q116" s="24"/>
      <c r="R116" s="24"/>
      <c r="S116" s="24"/>
      <c r="T116" s="24"/>
      <c r="U116" s="24"/>
      <c r="V116" s="24"/>
      <c r="X116" s="48"/>
    </row>
    <row r="117" spans="1:24" s="25" customFormat="1" x14ac:dyDescent="0.2">
      <c r="A117" s="328"/>
      <c r="B117" s="57" t="s">
        <v>200</v>
      </c>
      <c r="C117" s="55" t="s">
        <v>174</v>
      </c>
      <c r="D117" s="56" t="s">
        <v>193</v>
      </c>
      <c r="E117" s="203"/>
      <c r="F117" s="121">
        <v>18522</v>
      </c>
      <c r="G117" s="193"/>
      <c r="H117" s="44">
        <v>0.8</v>
      </c>
      <c r="I117" s="121">
        <v>14631</v>
      </c>
      <c r="J117" s="37">
        <f>K117-I117</f>
        <v>186.60000000000036</v>
      </c>
      <c r="K117" s="39">
        <f t="shared" si="11"/>
        <v>14817.6</v>
      </c>
      <c r="L117" s="38">
        <v>21</v>
      </c>
      <c r="M117" s="24"/>
      <c r="N117" s="166">
        <f t="shared" si="12"/>
        <v>130.62000000000026</v>
      </c>
      <c r="O117" s="24"/>
      <c r="P117" s="24"/>
      <c r="Q117" s="24"/>
      <c r="R117" s="24"/>
      <c r="S117" s="24"/>
      <c r="T117" s="24"/>
      <c r="U117" s="24"/>
      <c r="V117" s="24"/>
      <c r="X117" s="48"/>
    </row>
    <row r="118" spans="1:24" s="25" customFormat="1" x14ac:dyDescent="0.2">
      <c r="A118" s="328"/>
      <c r="B118" s="57" t="s">
        <v>194</v>
      </c>
      <c r="C118" s="55" t="s">
        <v>179</v>
      </c>
      <c r="D118" s="56" t="s">
        <v>71</v>
      </c>
      <c r="E118" s="203"/>
      <c r="F118" s="121">
        <v>22519</v>
      </c>
      <c r="G118" s="193"/>
      <c r="H118" s="44">
        <v>0.9</v>
      </c>
      <c r="I118" s="121">
        <v>20550</v>
      </c>
      <c r="J118" s="37">
        <v>0</v>
      </c>
      <c r="K118" s="39">
        <f t="shared" si="11"/>
        <v>20267.100000000002</v>
      </c>
      <c r="L118" s="38">
        <v>31</v>
      </c>
      <c r="M118" s="24"/>
      <c r="N118" s="166">
        <f t="shared" si="12"/>
        <v>0</v>
      </c>
      <c r="O118" s="24"/>
      <c r="P118" s="24"/>
      <c r="Q118" s="24"/>
      <c r="R118" s="24"/>
      <c r="S118" s="24"/>
      <c r="T118" s="24"/>
      <c r="U118" s="24"/>
      <c r="V118" s="24"/>
      <c r="X118" s="48"/>
    </row>
    <row r="119" spans="1:24" s="25" customFormat="1" x14ac:dyDescent="0.2">
      <c r="A119" s="328"/>
      <c r="B119" s="57" t="s">
        <v>203</v>
      </c>
      <c r="C119" s="55" t="s">
        <v>180</v>
      </c>
      <c r="D119" s="56" t="s">
        <v>74</v>
      </c>
      <c r="E119" s="203"/>
      <c r="F119" s="121">
        <v>13835</v>
      </c>
      <c r="G119" s="193"/>
      <c r="H119" s="44">
        <v>0.5</v>
      </c>
      <c r="I119" s="121">
        <v>6918</v>
      </c>
      <c r="J119" s="37">
        <v>0</v>
      </c>
      <c r="K119" s="39">
        <f t="shared" si="11"/>
        <v>6917.5</v>
      </c>
      <c r="L119" s="38">
        <v>15</v>
      </c>
      <c r="M119" s="24"/>
      <c r="N119" s="166">
        <f t="shared" si="12"/>
        <v>0</v>
      </c>
      <c r="O119" s="24"/>
      <c r="P119" s="24"/>
      <c r="Q119" s="24"/>
      <c r="R119" s="24"/>
      <c r="S119" s="24"/>
      <c r="T119" s="24"/>
      <c r="U119" s="24"/>
      <c r="V119" s="24"/>
      <c r="X119" s="48"/>
    </row>
    <row r="120" spans="1:24" s="25" customFormat="1" x14ac:dyDescent="0.2">
      <c r="A120" s="328"/>
      <c r="B120" s="57" t="s">
        <v>203</v>
      </c>
      <c r="C120" s="55" t="s">
        <v>181</v>
      </c>
      <c r="D120" s="56" t="s">
        <v>74</v>
      </c>
      <c r="E120" s="203"/>
      <c r="F120" s="121">
        <v>1057</v>
      </c>
      <c r="G120" s="193"/>
      <c r="H120" s="44">
        <v>0.5</v>
      </c>
      <c r="I120" s="121">
        <v>500</v>
      </c>
      <c r="J120" s="37">
        <f>K120-I120</f>
        <v>28.5</v>
      </c>
      <c r="K120" s="39">
        <f t="shared" si="11"/>
        <v>528.5</v>
      </c>
      <c r="L120" s="38">
        <v>2</v>
      </c>
      <c r="M120" s="24"/>
      <c r="N120" s="166">
        <f t="shared" si="12"/>
        <v>19.95</v>
      </c>
      <c r="O120" s="24"/>
      <c r="P120" s="24"/>
      <c r="Q120" s="24"/>
      <c r="R120" s="24"/>
      <c r="S120" s="24"/>
      <c r="T120" s="24"/>
      <c r="U120" s="24"/>
      <c r="V120" s="24"/>
      <c r="X120" s="48"/>
    </row>
    <row r="121" spans="1:24" s="25" customFormat="1" x14ac:dyDescent="0.2">
      <c r="A121" s="328"/>
      <c r="B121" s="57" t="s">
        <v>203</v>
      </c>
      <c r="C121" s="55" t="s">
        <v>183</v>
      </c>
      <c r="D121" s="56" t="s">
        <v>182</v>
      </c>
      <c r="E121" s="203"/>
      <c r="F121" s="121">
        <v>28970.29999</v>
      </c>
      <c r="G121" s="193"/>
      <c r="H121" s="44">
        <v>0.4</v>
      </c>
      <c r="I121" s="121">
        <v>11795</v>
      </c>
      <c r="J121" s="37">
        <v>0</v>
      </c>
      <c r="K121" s="39">
        <f t="shared" si="11"/>
        <v>11588.119996000001</v>
      </c>
      <c r="L121" s="38">
        <v>4</v>
      </c>
      <c r="M121" s="24"/>
      <c r="N121" s="166">
        <f t="shared" si="12"/>
        <v>0</v>
      </c>
      <c r="O121" s="24"/>
      <c r="P121" s="24"/>
      <c r="Q121" s="24"/>
      <c r="R121" s="24"/>
      <c r="S121" s="24"/>
      <c r="T121" s="24"/>
      <c r="U121" s="24"/>
      <c r="V121" s="24"/>
      <c r="X121" s="48"/>
    </row>
    <row r="122" spans="1:24" s="25" customFormat="1" x14ac:dyDescent="0.2">
      <c r="A122" s="328"/>
      <c r="B122" s="57" t="s">
        <v>194</v>
      </c>
      <c r="C122" s="55" t="s">
        <v>178</v>
      </c>
      <c r="D122" s="56" t="s">
        <v>72</v>
      </c>
      <c r="E122" s="203"/>
      <c r="F122" s="121">
        <v>2452</v>
      </c>
      <c r="G122" s="193"/>
      <c r="H122" s="44">
        <v>2.2999999999999998</v>
      </c>
      <c r="I122" s="121">
        <v>5747</v>
      </c>
      <c r="J122" s="37">
        <v>0</v>
      </c>
      <c r="K122" s="39">
        <f t="shared" si="11"/>
        <v>5639.5999999999995</v>
      </c>
      <c r="L122" s="38">
        <v>9</v>
      </c>
      <c r="M122" s="24"/>
      <c r="N122" s="166">
        <f t="shared" si="12"/>
        <v>0</v>
      </c>
      <c r="O122" s="24"/>
      <c r="P122" s="24"/>
      <c r="Q122" s="24"/>
      <c r="R122" s="24"/>
      <c r="S122" s="24"/>
      <c r="T122" s="24"/>
      <c r="U122" s="24"/>
      <c r="V122" s="24"/>
      <c r="X122" s="48"/>
    </row>
    <row r="123" spans="1:24" s="25" customFormat="1" x14ac:dyDescent="0.2">
      <c r="A123" s="328"/>
      <c r="B123" s="57" t="s">
        <v>194</v>
      </c>
      <c r="C123" s="55" t="s">
        <v>184</v>
      </c>
      <c r="D123" s="56" t="s">
        <v>72</v>
      </c>
      <c r="E123" s="203"/>
      <c r="F123" s="121">
        <v>443</v>
      </c>
      <c r="G123" s="193"/>
      <c r="H123" s="44">
        <v>2.7</v>
      </c>
      <c r="I123" s="121">
        <v>1195</v>
      </c>
      <c r="J123" s="37">
        <v>0</v>
      </c>
      <c r="K123" s="39">
        <f t="shared" si="11"/>
        <v>1196.1000000000001</v>
      </c>
      <c r="L123" s="38">
        <v>4</v>
      </c>
      <c r="M123" s="24"/>
      <c r="N123" s="166">
        <f t="shared" si="12"/>
        <v>0</v>
      </c>
      <c r="O123" s="24"/>
      <c r="P123" s="24"/>
      <c r="Q123" s="24"/>
      <c r="R123" s="24"/>
      <c r="S123" s="24"/>
      <c r="T123" s="24"/>
      <c r="U123" s="24"/>
      <c r="V123" s="24"/>
      <c r="X123" s="48"/>
    </row>
    <row r="124" spans="1:24" s="25" customFormat="1" x14ac:dyDescent="0.2">
      <c r="A124" s="328"/>
      <c r="B124" s="57" t="s">
        <v>194</v>
      </c>
      <c r="C124" s="55" t="s">
        <v>185</v>
      </c>
      <c r="D124" s="56" t="s">
        <v>72</v>
      </c>
      <c r="E124" s="203"/>
      <c r="F124" s="121">
        <v>491</v>
      </c>
      <c r="G124" s="193"/>
      <c r="H124" s="44">
        <v>2.7</v>
      </c>
      <c r="I124" s="121">
        <v>1307</v>
      </c>
      <c r="J124" s="37">
        <v>0</v>
      </c>
      <c r="K124" s="39">
        <f t="shared" si="11"/>
        <v>1325.7</v>
      </c>
      <c r="L124" s="38">
        <v>4</v>
      </c>
      <c r="M124" s="24"/>
      <c r="N124" s="166">
        <f t="shared" si="12"/>
        <v>0</v>
      </c>
      <c r="O124" s="24"/>
      <c r="P124" s="24"/>
      <c r="Q124" s="24"/>
      <c r="R124" s="24"/>
      <c r="S124" s="24"/>
      <c r="T124" s="24"/>
      <c r="U124" s="24"/>
      <c r="V124" s="24"/>
      <c r="X124" s="48"/>
    </row>
    <row r="125" spans="1:24" s="25" customFormat="1" x14ac:dyDescent="0.2">
      <c r="A125" s="328"/>
      <c r="B125" s="57" t="s">
        <v>194</v>
      </c>
      <c r="C125" s="55" t="s">
        <v>186</v>
      </c>
      <c r="D125" s="56" t="s">
        <v>72</v>
      </c>
      <c r="E125" s="203"/>
      <c r="F125" s="121">
        <v>5869</v>
      </c>
      <c r="G125" s="193"/>
      <c r="H125" s="44">
        <v>2</v>
      </c>
      <c r="I125" s="121">
        <v>11588</v>
      </c>
      <c r="J125" s="37">
        <f t="shared" ref="J125:J131" si="13">K125-I125</f>
        <v>150</v>
      </c>
      <c r="K125" s="39">
        <f t="shared" ref="K125:K131" si="14">F125*H125</f>
        <v>11738</v>
      </c>
      <c r="L125" s="38">
        <v>25</v>
      </c>
      <c r="M125" s="24"/>
      <c r="N125" s="166">
        <f t="shared" ref="N125:N131" si="15">J125*0.7</f>
        <v>105</v>
      </c>
      <c r="O125" s="24"/>
      <c r="P125" s="24"/>
      <c r="Q125" s="24"/>
      <c r="R125" s="24"/>
      <c r="S125" s="24"/>
      <c r="T125" s="24"/>
      <c r="U125" s="24"/>
      <c r="V125" s="24"/>
      <c r="X125" s="48"/>
    </row>
    <row r="126" spans="1:24" s="25" customFormat="1" x14ac:dyDescent="0.2">
      <c r="A126" s="328"/>
      <c r="B126" s="57" t="s">
        <v>194</v>
      </c>
      <c r="C126" s="55" t="s">
        <v>187</v>
      </c>
      <c r="D126" s="56" t="s">
        <v>72</v>
      </c>
      <c r="E126" s="203"/>
      <c r="F126" s="121">
        <v>5885.87</v>
      </c>
      <c r="G126" s="193"/>
      <c r="H126" s="44">
        <v>1</v>
      </c>
      <c r="I126" s="121">
        <v>4500</v>
      </c>
      <c r="J126" s="37">
        <f t="shared" si="13"/>
        <v>1385.87</v>
      </c>
      <c r="K126" s="39">
        <f t="shared" si="14"/>
        <v>5885.87</v>
      </c>
      <c r="L126" s="38">
        <v>14</v>
      </c>
      <c r="M126" s="24"/>
      <c r="N126" s="166">
        <f t="shared" si="15"/>
        <v>970.10899999999981</v>
      </c>
      <c r="O126" s="24"/>
      <c r="P126" s="24"/>
      <c r="Q126" s="24"/>
      <c r="R126" s="24"/>
      <c r="S126" s="24"/>
      <c r="T126" s="24"/>
      <c r="U126" s="24"/>
      <c r="V126" s="24"/>
      <c r="X126" s="48"/>
    </row>
    <row r="127" spans="1:24" s="25" customFormat="1" x14ac:dyDescent="0.2">
      <c r="A127" s="328"/>
      <c r="B127" s="57" t="s">
        <v>196</v>
      </c>
      <c r="C127" s="55" t="s">
        <v>188</v>
      </c>
      <c r="D127" s="56" t="s">
        <v>72</v>
      </c>
      <c r="E127" s="203"/>
      <c r="F127" s="121">
        <v>11474.102751</v>
      </c>
      <c r="G127" s="193"/>
      <c r="H127" s="44">
        <v>1</v>
      </c>
      <c r="I127" s="121">
        <v>8665</v>
      </c>
      <c r="J127" s="37">
        <f t="shared" si="13"/>
        <v>2809.1027510000004</v>
      </c>
      <c r="K127" s="39">
        <f t="shared" si="14"/>
        <v>11474.102751</v>
      </c>
      <c r="L127" s="38">
        <v>17</v>
      </c>
      <c r="M127" s="24"/>
      <c r="N127" s="166">
        <f t="shared" si="15"/>
        <v>1966.3719257</v>
      </c>
      <c r="O127" s="24"/>
      <c r="P127" s="24"/>
      <c r="Q127" s="24"/>
      <c r="R127" s="24"/>
      <c r="S127" s="24"/>
      <c r="T127" s="24"/>
      <c r="U127" s="24"/>
      <c r="V127" s="24"/>
      <c r="X127" s="48"/>
    </row>
    <row r="128" spans="1:24" s="25" customFormat="1" x14ac:dyDescent="0.2">
      <c r="A128" s="328"/>
      <c r="B128" s="57" t="s">
        <v>194</v>
      </c>
      <c r="C128" s="55" t="s">
        <v>189</v>
      </c>
      <c r="D128" s="56" t="s">
        <v>72</v>
      </c>
      <c r="E128" s="203"/>
      <c r="F128" s="121">
        <v>17550.347404</v>
      </c>
      <c r="G128" s="193"/>
      <c r="H128" s="44">
        <v>1</v>
      </c>
      <c r="I128" s="121">
        <v>13554</v>
      </c>
      <c r="J128" s="37">
        <f t="shared" si="13"/>
        <v>3996.3474040000001</v>
      </c>
      <c r="K128" s="39">
        <f t="shared" si="14"/>
        <v>17550.347404</v>
      </c>
      <c r="L128" s="38">
        <v>22</v>
      </c>
      <c r="M128" s="24"/>
      <c r="N128" s="166">
        <f t="shared" si="15"/>
        <v>2797.4431827999997</v>
      </c>
      <c r="O128" s="24"/>
      <c r="P128" s="24"/>
      <c r="Q128" s="24"/>
      <c r="R128" s="24"/>
      <c r="S128" s="24"/>
      <c r="T128" s="24"/>
      <c r="U128" s="24"/>
      <c r="V128" s="24"/>
      <c r="X128" s="48"/>
    </row>
    <row r="129" spans="1:24" s="25" customFormat="1" x14ac:dyDescent="0.2">
      <c r="A129" s="328"/>
      <c r="B129" s="57" t="s">
        <v>194</v>
      </c>
      <c r="C129" s="55" t="s">
        <v>190</v>
      </c>
      <c r="D129" s="56" t="s">
        <v>73</v>
      </c>
      <c r="E129" s="203"/>
      <c r="F129" s="121">
        <v>4800</v>
      </c>
      <c r="G129" s="193"/>
      <c r="H129" s="44">
        <v>0.5</v>
      </c>
      <c r="I129" s="121">
        <v>1449</v>
      </c>
      <c r="J129" s="37">
        <f t="shared" si="13"/>
        <v>951</v>
      </c>
      <c r="K129" s="39">
        <f t="shared" si="14"/>
        <v>2400</v>
      </c>
      <c r="L129" s="38">
        <v>3</v>
      </c>
      <c r="M129" s="24"/>
      <c r="N129" s="166">
        <f t="shared" si="15"/>
        <v>665.69999999999993</v>
      </c>
      <c r="O129" s="24"/>
      <c r="P129" s="24"/>
      <c r="Q129" s="24"/>
      <c r="R129" s="24"/>
      <c r="S129" s="24"/>
      <c r="T129" s="24"/>
      <c r="U129" s="24"/>
      <c r="V129" s="24"/>
      <c r="X129" s="48"/>
    </row>
    <row r="130" spans="1:24" s="25" customFormat="1" x14ac:dyDescent="0.2">
      <c r="A130" s="328"/>
      <c r="B130" s="57" t="s">
        <v>194</v>
      </c>
      <c r="C130" s="55" t="s">
        <v>191</v>
      </c>
      <c r="D130" s="56" t="s">
        <v>73</v>
      </c>
      <c r="E130" s="203"/>
      <c r="F130" s="121">
        <v>1641</v>
      </c>
      <c r="G130" s="193"/>
      <c r="H130" s="44">
        <v>1</v>
      </c>
      <c r="I130" s="121">
        <v>1204</v>
      </c>
      <c r="J130" s="37">
        <f t="shared" si="13"/>
        <v>437</v>
      </c>
      <c r="K130" s="39">
        <f t="shared" si="14"/>
        <v>1641</v>
      </c>
      <c r="L130" s="38">
        <v>3</v>
      </c>
      <c r="M130" s="24"/>
      <c r="N130" s="166">
        <f t="shared" si="15"/>
        <v>305.89999999999998</v>
      </c>
      <c r="O130" s="24"/>
      <c r="P130" s="24"/>
      <c r="Q130" s="24"/>
      <c r="R130" s="24"/>
      <c r="S130" s="24"/>
      <c r="T130" s="24"/>
      <c r="U130" s="24"/>
      <c r="V130" s="24"/>
      <c r="X130" s="48"/>
    </row>
    <row r="131" spans="1:24" s="25" customFormat="1" x14ac:dyDescent="0.2">
      <c r="A131" s="329"/>
      <c r="B131" s="57" t="s">
        <v>194</v>
      </c>
      <c r="C131" s="55" t="s">
        <v>192</v>
      </c>
      <c r="D131" s="56" t="s">
        <v>73</v>
      </c>
      <c r="E131" s="203"/>
      <c r="F131" s="121">
        <v>11839</v>
      </c>
      <c r="G131" s="193"/>
      <c r="H131" s="44">
        <v>1.2</v>
      </c>
      <c r="I131" s="121">
        <v>9901</v>
      </c>
      <c r="J131" s="37">
        <f t="shared" si="13"/>
        <v>4305.7999999999993</v>
      </c>
      <c r="K131" s="39">
        <f t="shared" si="14"/>
        <v>14206.8</v>
      </c>
      <c r="L131" s="38">
        <v>22</v>
      </c>
      <c r="M131" s="24"/>
      <c r="N131" s="166">
        <f t="shared" si="15"/>
        <v>3014.0599999999995</v>
      </c>
      <c r="O131" s="24"/>
      <c r="P131" s="24"/>
      <c r="Q131" s="24"/>
      <c r="R131" s="24"/>
      <c r="S131" s="24"/>
      <c r="T131" s="24"/>
      <c r="U131" s="24"/>
      <c r="V131" s="24"/>
      <c r="X131" s="48"/>
    </row>
    <row r="132" spans="1:24" s="277" customFormat="1" ht="18" customHeight="1" x14ac:dyDescent="0.2">
      <c r="A132" s="298" t="s">
        <v>33</v>
      </c>
      <c r="B132" s="298"/>
      <c r="C132" s="280"/>
      <c r="D132" s="280"/>
      <c r="E132" s="281">
        <f>SUM(E30:E131)</f>
        <v>0</v>
      </c>
      <c r="F132" s="279">
        <f>SUM(F30:F131)</f>
        <v>617942.39489899995</v>
      </c>
      <c r="G132" s="282">
        <f>SUM(G30:G131)</f>
        <v>0</v>
      </c>
      <c r="H132" s="283">
        <v>0</v>
      </c>
      <c r="I132" s="283">
        <f t="shared" ref="I132:L132" si="16">SUM(I30:I131)</f>
        <v>622088</v>
      </c>
      <c r="J132" s="283">
        <f t="shared" si="16"/>
        <v>86122.444544644197</v>
      </c>
      <c r="K132" s="283">
        <f t="shared" si="16"/>
        <v>702988.84513514407</v>
      </c>
      <c r="L132" s="283">
        <f t="shared" si="16"/>
        <v>1365</v>
      </c>
      <c r="M132" s="20"/>
      <c r="N132" s="167">
        <f>SUM(N30:N131)</f>
        <v>60285.711181250917</v>
      </c>
      <c r="O132" s="20"/>
      <c r="P132" s="20"/>
      <c r="Q132" s="20"/>
      <c r="R132" s="20"/>
      <c r="S132" s="20"/>
      <c r="T132" s="20"/>
      <c r="U132" s="20"/>
      <c r="V132" s="20"/>
      <c r="X132" s="278"/>
    </row>
    <row r="133" spans="1:24" x14ac:dyDescent="0.2">
      <c r="A133" s="299" t="s">
        <v>6</v>
      </c>
      <c r="B133" s="49" t="s">
        <v>206</v>
      </c>
      <c r="C133" s="58" t="s">
        <v>49</v>
      </c>
      <c r="D133" s="59" t="s">
        <v>205</v>
      </c>
      <c r="E133" s="204">
        <v>169159.093742</v>
      </c>
      <c r="F133" s="11"/>
      <c r="G133" s="195">
        <v>0.27</v>
      </c>
      <c r="H133" s="45" t="s">
        <v>742</v>
      </c>
      <c r="I133" s="40">
        <v>24910</v>
      </c>
      <c r="J133" s="37">
        <f t="shared" ref="J133:J145" si="17">K133-I133</f>
        <v>20762.955310340003</v>
      </c>
      <c r="K133" s="39">
        <f t="shared" ref="K133:K146" si="18">E133*G133</f>
        <v>45672.955310340003</v>
      </c>
      <c r="L133" s="38">
        <v>162</v>
      </c>
      <c r="M133" s="8"/>
      <c r="N133" s="16"/>
      <c r="O133" s="159">
        <v>34075</v>
      </c>
      <c r="P133" s="16"/>
      <c r="Q133" s="16" t="s">
        <v>403</v>
      </c>
      <c r="R133" s="50" t="s">
        <v>794</v>
      </c>
      <c r="S133" s="159">
        <v>38275</v>
      </c>
      <c r="T133" s="16"/>
      <c r="U133" s="16"/>
      <c r="V133" s="16"/>
      <c r="W133" s="8"/>
    </row>
    <row r="134" spans="1:24" ht="25.5" x14ac:dyDescent="0.2">
      <c r="A134" s="299"/>
      <c r="B134" s="49" t="s">
        <v>206</v>
      </c>
      <c r="C134" s="58" t="s">
        <v>50</v>
      </c>
      <c r="D134" s="59" t="s">
        <v>207</v>
      </c>
      <c r="E134" s="204">
        <v>243229</v>
      </c>
      <c r="F134" s="11"/>
      <c r="G134" s="195">
        <f>I134/E134</f>
        <v>0.2305851687093233</v>
      </c>
      <c r="H134" s="45"/>
      <c r="I134" s="40">
        <v>56085</v>
      </c>
      <c r="J134" s="37">
        <f t="shared" si="17"/>
        <v>0</v>
      </c>
      <c r="K134" s="39">
        <f t="shared" si="18"/>
        <v>56085</v>
      </c>
      <c r="L134" s="38">
        <v>83</v>
      </c>
      <c r="M134" s="8"/>
      <c r="N134" s="16"/>
      <c r="O134" s="159">
        <v>36949</v>
      </c>
      <c r="P134" s="50" t="s">
        <v>795</v>
      </c>
      <c r="Q134" s="16" t="s">
        <v>404</v>
      </c>
      <c r="R134" s="50" t="s">
        <v>796</v>
      </c>
      <c r="S134" s="160" t="s">
        <v>797</v>
      </c>
      <c r="T134" s="160">
        <v>36972</v>
      </c>
      <c r="U134" s="50" t="s">
        <v>798</v>
      </c>
      <c r="V134" s="16"/>
      <c r="W134" s="8"/>
    </row>
    <row r="135" spans="1:24" x14ac:dyDescent="0.2">
      <c r="A135" s="299"/>
      <c r="B135" s="49" t="s">
        <v>206</v>
      </c>
      <c r="C135" s="58" t="s">
        <v>75</v>
      </c>
      <c r="D135" s="59" t="s">
        <v>208</v>
      </c>
      <c r="E135" s="204">
        <v>65048.062889000001</v>
      </c>
      <c r="F135" s="11"/>
      <c r="G135" s="195">
        <f>I135/E135</f>
        <v>0.26171417324218055</v>
      </c>
      <c r="H135" s="45"/>
      <c r="I135" s="40">
        <v>17024</v>
      </c>
      <c r="J135" s="37">
        <f t="shared" si="17"/>
        <v>0</v>
      </c>
      <c r="K135" s="39">
        <f t="shared" si="18"/>
        <v>17024</v>
      </c>
      <c r="L135" s="38">
        <v>25</v>
      </c>
      <c r="M135" s="8"/>
      <c r="N135" s="16"/>
      <c r="O135" s="159">
        <v>33857</v>
      </c>
      <c r="P135" s="50" t="s">
        <v>799</v>
      </c>
      <c r="Q135" s="16" t="s">
        <v>405</v>
      </c>
      <c r="R135" s="50" t="s">
        <v>800</v>
      </c>
      <c r="S135" s="159">
        <v>34508</v>
      </c>
      <c r="T135" s="16"/>
      <c r="U135" s="159">
        <v>39168</v>
      </c>
      <c r="V135" s="16"/>
      <c r="W135" s="8"/>
    </row>
    <row r="136" spans="1:24" ht="25.5" x14ac:dyDescent="0.2">
      <c r="A136" s="299"/>
      <c r="B136" s="49" t="s">
        <v>210</v>
      </c>
      <c r="C136" s="58" t="s">
        <v>76</v>
      </c>
      <c r="D136" s="59" t="s">
        <v>209</v>
      </c>
      <c r="E136" s="204">
        <v>24000</v>
      </c>
      <c r="F136" s="11"/>
      <c r="G136" s="195">
        <f>I136/E136</f>
        <v>0.88183333333333336</v>
      </c>
      <c r="H136" s="45"/>
      <c r="I136" s="40">
        <v>21164</v>
      </c>
      <c r="J136" s="37">
        <f t="shared" si="17"/>
        <v>0</v>
      </c>
      <c r="K136" s="39">
        <f t="shared" si="18"/>
        <v>21164</v>
      </c>
      <c r="L136" s="38">
        <v>31</v>
      </c>
      <c r="M136" s="8"/>
      <c r="N136" s="16"/>
      <c r="O136" s="159">
        <v>37420</v>
      </c>
      <c r="P136" s="50" t="s">
        <v>802</v>
      </c>
      <c r="Q136" s="16" t="s">
        <v>406</v>
      </c>
      <c r="R136" s="50" t="s">
        <v>801</v>
      </c>
      <c r="S136" s="159">
        <v>37372</v>
      </c>
      <c r="T136" s="159">
        <v>37741</v>
      </c>
      <c r="U136" s="159">
        <v>38005</v>
      </c>
      <c r="V136" s="16"/>
      <c r="W136" s="8"/>
    </row>
    <row r="137" spans="1:24" x14ac:dyDescent="0.2">
      <c r="A137" s="299"/>
      <c r="B137" s="83" t="s">
        <v>201</v>
      </c>
      <c r="C137" s="84" t="s">
        <v>77</v>
      </c>
      <c r="D137" s="85" t="s">
        <v>211</v>
      </c>
      <c r="E137" s="290">
        <v>128329</v>
      </c>
      <c r="F137" s="292"/>
      <c r="G137" s="293">
        <v>0.44097500000000001</v>
      </c>
      <c r="H137" s="45"/>
      <c r="I137" s="40">
        <v>36000</v>
      </c>
      <c r="J137" s="37">
        <f t="shared" si="17"/>
        <v>20589.880774999998</v>
      </c>
      <c r="K137" s="39">
        <f t="shared" si="18"/>
        <v>56589.880774999998</v>
      </c>
      <c r="L137" s="38">
        <v>53</v>
      </c>
      <c r="M137" s="8"/>
      <c r="N137" s="16"/>
      <c r="O137" s="159">
        <v>33896</v>
      </c>
      <c r="P137" s="50" t="s">
        <v>803</v>
      </c>
      <c r="Q137" s="16" t="s">
        <v>407</v>
      </c>
      <c r="R137" s="50" t="s">
        <v>804</v>
      </c>
      <c r="S137" s="159">
        <v>36860</v>
      </c>
      <c r="T137" s="16"/>
      <c r="U137" s="159">
        <v>39063</v>
      </c>
      <c r="V137" s="16"/>
      <c r="W137" s="8"/>
    </row>
    <row r="138" spans="1:24" x14ac:dyDescent="0.2">
      <c r="A138" s="299"/>
      <c r="B138" s="49" t="s">
        <v>210</v>
      </c>
      <c r="C138" s="58" t="s">
        <v>78</v>
      </c>
      <c r="D138" s="59" t="s">
        <v>212</v>
      </c>
      <c r="E138" s="204">
        <v>21246</v>
      </c>
      <c r="F138" s="11"/>
      <c r="G138" s="195">
        <f t="shared" ref="G138:G143" si="19">I138/E138</f>
        <v>0.95213216605478679</v>
      </c>
      <c r="H138" s="45"/>
      <c r="I138" s="40">
        <v>20229</v>
      </c>
      <c r="J138" s="37">
        <f t="shared" si="17"/>
        <v>0</v>
      </c>
      <c r="K138" s="39">
        <f t="shared" si="18"/>
        <v>20229</v>
      </c>
      <c r="L138" s="38">
        <v>30</v>
      </c>
      <c r="M138" s="8"/>
      <c r="N138" s="16"/>
      <c r="O138" s="16"/>
      <c r="P138" s="50" t="s">
        <v>806</v>
      </c>
      <c r="Q138" s="16" t="s">
        <v>408</v>
      </c>
      <c r="R138" s="50" t="s">
        <v>805</v>
      </c>
      <c r="S138" s="159">
        <v>35451</v>
      </c>
      <c r="T138" s="16"/>
      <c r="U138" s="16"/>
      <c r="V138" s="16"/>
      <c r="W138" s="8"/>
    </row>
    <row r="139" spans="1:24" x14ac:dyDescent="0.2">
      <c r="A139" s="299"/>
      <c r="B139" s="49" t="s">
        <v>204</v>
      </c>
      <c r="C139" s="58" t="s">
        <v>79</v>
      </c>
      <c r="D139" s="60" t="s">
        <v>213</v>
      </c>
      <c r="E139" s="204">
        <v>91986</v>
      </c>
      <c r="F139" s="11"/>
      <c r="G139" s="195">
        <f t="shared" si="19"/>
        <v>0.66776465983954081</v>
      </c>
      <c r="H139" s="45"/>
      <c r="I139" s="40">
        <v>61425</v>
      </c>
      <c r="J139" s="37">
        <f t="shared" si="17"/>
        <v>0</v>
      </c>
      <c r="K139" s="39">
        <f t="shared" si="18"/>
        <v>61425</v>
      </c>
      <c r="L139" s="38">
        <v>130</v>
      </c>
      <c r="M139" s="8"/>
      <c r="N139" s="16"/>
      <c r="O139" s="159">
        <v>36119</v>
      </c>
      <c r="P139" s="50" t="s">
        <v>808</v>
      </c>
      <c r="Q139" s="16" t="s">
        <v>409</v>
      </c>
      <c r="R139" s="50" t="s">
        <v>807</v>
      </c>
      <c r="S139" s="159">
        <v>36265</v>
      </c>
      <c r="T139" s="16"/>
      <c r="U139" s="16"/>
      <c r="V139" s="16"/>
      <c r="W139" s="8"/>
    </row>
    <row r="140" spans="1:24" x14ac:dyDescent="0.2">
      <c r="A140" s="299"/>
      <c r="B140" s="49" t="s">
        <v>206</v>
      </c>
      <c r="C140" s="58" t="s">
        <v>80</v>
      </c>
      <c r="D140" s="60" t="s">
        <v>214</v>
      </c>
      <c r="E140" s="204">
        <v>96007</v>
      </c>
      <c r="F140" s="11"/>
      <c r="G140" s="195">
        <f t="shared" si="19"/>
        <v>0.26610559646692428</v>
      </c>
      <c r="H140" s="45"/>
      <c r="I140" s="40">
        <v>25548</v>
      </c>
      <c r="J140" s="37">
        <f t="shared" si="17"/>
        <v>0</v>
      </c>
      <c r="K140" s="39">
        <f t="shared" si="18"/>
        <v>25548</v>
      </c>
      <c r="L140" s="38">
        <v>38</v>
      </c>
      <c r="M140" s="8"/>
      <c r="N140" s="16"/>
      <c r="O140" s="159">
        <v>34681</v>
      </c>
      <c r="P140" s="50" t="s">
        <v>810</v>
      </c>
      <c r="Q140" s="16" t="s">
        <v>410</v>
      </c>
      <c r="R140" s="50" t="s">
        <v>809</v>
      </c>
      <c r="S140" s="16"/>
      <c r="T140" s="16"/>
      <c r="U140" s="16"/>
      <c r="V140" s="16"/>
      <c r="W140" s="8"/>
    </row>
    <row r="141" spans="1:24" ht="25.5" x14ac:dyDescent="0.2">
      <c r="A141" s="299"/>
      <c r="B141" s="49" t="s">
        <v>206</v>
      </c>
      <c r="C141" s="58" t="s">
        <v>81</v>
      </c>
      <c r="D141" s="59" t="s">
        <v>215</v>
      </c>
      <c r="E141" s="204">
        <v>73184</v>
      </c>
      <c r="F141" s="11"/>
      <c r="G141" s="195">
        <f t="shared" si="19"/>
        <v>0.26828268473983385</v>
      </c>
      <c r="H141" s="45"/>
      <c r="I141" s="40">
        <v>19634</v>
      </c>
      <c r="J141" s="37">
        <f t="shared" si="17"/>
        <v>0</v>
      </c>
      <c r="K141" s="39">
        <f t="shared" si="18"/>
        <v>19634</v>
      </c>
      <c r="L141" s="38">
        <v>30</v>
      </c>
      <c r="M141" s="8"/>
      <c r="N141" s="16"/>
      <c r="O141" s="16"/>
      <c r="P141" s="50" t="s">
        <v>812</v>
      </c>
      <c r="Q141" s="16" t="s">
        <v>411</v>
      </c>
      <c r="R141" s="50" t="s">
        <v>811</v>
      </c>
      <c r="S141" s="16"/>
      <c r="T141" s="16"/>
      <c r="U141" s="16"/>
      <c r="V141" s="16"/>
      <c r="W141" s="8"/>
    </row>
    <row r="142" spans="1:24" ht="25.5" x14ac:dyDescent="0.2">
      <c r="A142" s="299"/>
      <c r="B142" s="49" t="s">
        <v>210</v>
      </c>
      <c r="C142" s="58" t="s">
        <v>82</v>
      </c>
      <c r="D142" s="59" t="s">
        <v>216</v>
      </c>
      <c r="E142" s="204">
        <v>40365</v>
      </c>
      <c r="F142" s="11"/>
      <c r="G142" s="195">
        <f t="shared" si="19"/>
        <v>0.85048928527189394</v>
      </c>
      <c r="H142" s="45"/>
      <c r="I142" s="40">
        <v>34330</v>
      </c>
      <c r="J142" s="37">
        <f t="shared" si="17"/>
        <v>0</v>
      </c>
      <c r="K142" s="39">
        <f t="shared" si="18"/>
        <v>34330</v>
      </c>
      <c r="L142" s="38">
        <v>51</v>
      </c>
      <c r="M142" s="8"/>
      <c r="N142" s="16"/>
      <c r="O142" s="160" t="s">
        <v>814</v>
      </c>
      <c r="P142" s="50" t="s">
        <v>815</v>
      </c>
      <c r="Q142" s="16" t="s">
        <v>412</v>
      </c>
      <c r="R142" s="50" t="s">
        <v>813</v>
      </c>
      <c r="S142" s="16"/>
      <c r="T142" s="159">
        <v>38532</v>
      </c>
      <c r="U142" s="159">
        <v>39477</v>
      </c>
      <c r="V142" s="16"/>
      <c r="W142" s="8"/>
    </row>
    <row r="143" spans="1:24" x14ac:dyDescent="0.2">
      <c r="A143" s="299"/>
      <c r="B143" s="49" t="s">
        <v>206</v>
      </c>
      <c r="C143" s="58" t="s">
        <v>83</v>
      </c>
      <c r="D143" s="59" t="s">
        <v>217</v>
      </c>
      <c r="E143" s="204">
        <v>44450</v>
      </c>
      <c r="F143" s="11"/>
      <c r="G143" s="195">
        <f t="shared" si="19"/>
        <v>0.24814398200224971</v>
      </c>
      <c r="H143" s="45"/>
      <c r="I143" s="40">
        <v>11030</v>
      </c>
      <c r="J143" s="37">
        <f t="shared" si="17"/>
        <v>0</v>
      </c>
      <c r="K143" s="39">
        <f t="shared" si="18"/>
        <v>11030</v>
      </c>
      <c r="L143" s="38">
        <v>16</v>
      </c>
      <c r="M143" s="8"/>
      <c r="N143" s="16"/>
      <c r="O143" s="16"/>
      <c r="P143" s="50" t="s">
        <v>816</v>
      </c>
      <c r="Q143" s="16" t="s">
        <v>413</v>
      </c>
      <c r="R143" s="16"/>
      <c r="S143" s="16"/>
      <c r="T143" s="16"/>
      <c r="U143" s="16"/>
      <c r="V143" s="16"/>
      <c r="W143" s="8"/>
    </row>
    <row r="144" spans="1:24" x14ac:dyDescent="0.2">
      <c r="A144" s="299"/>
      <c r="B144" s="49" t="s">
        <v>206</v>
      </c>
      <c r="C144" s="119" t="s">
        <v>745</v>
      </c>
      <c r="D144" s="62" t="s">
        <v>580</v>
      </c>
      <c r="E144" s="204">
        <v>11450.233157999999</v>
      </c>
      <c r="F144" s="11"/>
      <c r="G144" s="195">
        <f>1500/E144</f>
        <v>0.1310016992057482</v>
      </c>
      <c r="H144" s="45"/>
      <c r="I144" s="120">
        <v>1500</v>
      </c>
      <c r="J144" s="37">
        <f t="shared" si="17"/>
        <v>0</v>
      </c>
      <c r="K144" s="39">
        <f t="shared" si="18"/>
        <v>1500.0000000000002</v>
      </c>
      <c r="L144" s="38">
        <v>0</v>
      </c>
      <c r="M144" s="8"/>
      <c r="N144" s="16"/>
      <c r="O144" s="16"/>
      <c r="P144" s="16"/>
      <c r="Q144" s="16"/>
      <c r="R144" s="16"/>
      <c r="S144" s="16"/>
      <c r="T144" s="16"/>
      <c r="U144" s="16"/>
      <c r="V144" s="16"/>
      <c r="W144" s="8"/>
    </row>
    <row r="145" spans="1:23" x14ac:dyDescent="0.2">
      <c r="A145" s="299"/>
      <c r="B145" s="49" t="s">
        <v>206</v>
      </c>
      <c r="C145" s="119" t="s">
        <v>746</v>
      </c>
      <c r="D145" s="62" t="s">
        <v>580</v>
      </c>
      <c r="E145" s="204">
        <v>3184.4413939999999</v>
      </c>
      <c r="F145" s="11"/>
      <c r="G145" s="195">
        <f>900/E145</f>
        <v>0.28262413674679171</v>
      </c>
      <c r="H145" s="45"/>
      <c r="I145" s="120">
        <v>900</v>
      </c>
      <c r="J145" s="37">
        <f t="shared" si="17"/>
        <v>0</v>
      </c>
      <c r="K145" s="39">
        <f t="shared" si="18"/>
        <v>900</v>
      </c>
      <c r="L145" s="38">
        <v>0</v>
      </c>
      <c r="M145" s="8"/>
      <c r="N145" s="16"/>
      <c r="O145" s="16"/>
      <c r="P145" s="16"/>
      <c r="Q145" s="16"/>
      <c r="R145" s="16"/>
      <c r="S145" s="16"/>
      <c r="T145" s="16"/>
      <c r="U145" s="16"/>
      <c r="V145" s="16"/>
      <c r="W145" s="8"/>
    </row>
    <row r="146" spans="1:23" x14ac:dyDescent="0.2">
      <c r="A146" s="299"/>
      <c r="B146" s="49" t="s">
        <v>206</v>
      </c>
      <c r="C146" s="119" t="s">
        <v>747</v>
      </c>
      <c r="D146" s="62" t="s">
        <v>580</v>
      </c>
      <c r="E146" s="204">
        <v>1503.997613</v>
      </c>
      <c r="F146" s="11"/>
      <c r="G146" s="195">
        <f>400/E146</f>
        <v>0.26595786891052731</v>
      </c>
      <c r="H146" s="45"/>
      <c r="I146" s="120">
        <v>400</v>
      </c>
      <c r="J146" s="37"/>
      <c r="K146" s="39">
        <f t="shared" si="18"/>
        <v>400</v>
      </c>
      <c r="L146" s="38">
        <v>0</v>
      </c>
      <c r="M146" s="8"/>
      <c r="N146" s="16"/>
      <c r="O146" s="16"/>
      <c r="P146" s="16"/>
      <c r="Q146" s="16"/>
      <c r="R146" s="16"/>
      <c r="S146" s="16"/>
      <c r="T146" s="16"/>
      <c r="U146" s="16"/>
      <c r="V146" s="16"/>
      <c r="W146" s="8"/>
    </row>
    <row r="147" spans="1:23" x14ac:dyDescent="0.2">
      <c r="A147" s="299"/>
      <c r="B147" s="49" t="s">
        <v>846</v>
      </c>
      <c r="C147" s="58" t="s">
        <v>623</v>
      </c>
      <c r="D147" s="59" t="s">
        <v>622</v>
      </c>
      <c r="E147" s="204">
        <v>36451.512938</v>
      </c>
      <c r="F147" s="11"/>
      <c r="G147" s="195">
        <f>15000/E147</f>
        <v>0.41150555329523208</v>
      </c>
      <c r="H147" s="45"/>
      <c r="I147" s="40">
        <v>0</v>
      </c>
      <c r="J147" s="37">
        <f t="shared" ref="J147:J189" si="20">K147-I147</f>
        <v>15000</v>
      </c>
      <c r="K147" s="39">
        <f t="shared" ref="K147:K179" si="21">E147*G147</f>
        <v>15000</v>
      </c>
      <c r="L147" s="38">
        <v>0</v>
      </c>
      <c r="M147" s="8"/>
      <c r="N147" s="16"/>
      <c r="O147" s="16"/>
      <c r="P147" s="16"/>
      <c r="Q147" s="16"/>
      <c r="R147" s="16"/>
      <c r="S147" s="16"/>
      <c r="T147" s="16"/>
      <c r="U147" s="16"/>
      <c r="V147" s="16"/>
      <c r="W147" s="8"/>
    </row>
    <row r="148" spans="1:23" x14ac:dyDescent="0.2">
      <c r="A148" s="299"/>
      <c r="B148" s="49" t="s">
        <v>8</v>
      </c>
      <c r="C148" s="58" t="s">
        <v>624</v>
      </c>
      <c r="D148" s="59" t="s">
        <v>622</v>
      </c>
      <c r="E148" s="204">
        <v>35778.959999999999</v>
      </c>
      <c r="F148" s="11"/>
      <c r="G148" s="195">
        <f>6000/E148</f>
        <v>0.16769632208426405</v>
      </c>
      <c r="H148" s="45"/>
      <c r="I148" s="40">
        <v>0</v>
      </c>
      <c r="J148" s="37">
        <f t="shared" si="20"/>
        <v>6000</v>
      </c>
      <c r="K148" s="39">
        <f t="shared" si="21"/>
        <v>6000</v>
      </c>
      <c r="L148" s="38">
        <v>0</v>
      </c>
      <c r="M148" s="8"/>
      <c r="N148" s="16"/>
      <c r="O148" s="16"/>
      <c r="P148" s="16"/>
      <c r="Q148" s="16"/>
      <c r="R148" s="16"/>
      <c r="S148" s="16"/>
      <c r="T148" s="16"/>
      <c r="U148" s="16"/>
      <c r="V148" s="16"/>
      <c r="W148" s="8"/>
    </row>
    <row r="149" spans="1:23" x14ac:dyDescent="0.2">
      <c r="A149" s="299"/>
      <c r="B149" s="49" t="s">
        <v>342</v>
      </c>
      <c r="C149" s="58" t="s">
        <v>625</v>
      </c>
      <c r="D149" s="59" t="s">
        <v>580</v>
      </c>
      <c r="E149" s="204">
        <v>11419</v>
      </c>
      <c r="F149" s="11"/>
      <c r="G149" s="195">
        <f>2500/E149</f>
        <v>0.21893335668622471</v>
      </c>
      <c r="H149" s="45"/>
      <c r="I149" s="40"/>
      <c r="J149" s="37">
        <f t="shared" si="20"/>
        <v>2500</v>
      </c>
      <c r="K149" s="39">
        <f t="shared" si="21"/>
        <v>2500</v>
      </c>
      <c r="L149" s="38">
        <v>0</v>
      </c>
      <c r="M149" s="8"/>
      <c r="N149" s="16"/>
      <c r="O149" s="16"/>
      <c r="P149" s="16"/>
      <c r="Q149" s="16"/>
      <c r="R149" s="16"/>
      <c r="S149" s="16"/>
      <c r="T149" s="16"/>
      <c r="U149" s="16"/>
      <c r="V149" s="16"/>
      <c r="W149" s="8"/>
    </row>
    <row r="150" spans="1:23" x14ac:dyDescent="0.2">
      <c r="A150" s="299"/>
      <c r="B150" s="49" t="s">
        <v>820</v>
      </c>
      <c r="C150" s="58" t="s">
        <v>626</v>
      </c>
      <c r="D150" s="59" t="s">
        <v>580</v>
      </c>
      <c r="E150" s="204">
        <v>25257.850743999999</v>
      </c>
      <c r="F150" s="11"/>
      <c r="G150" s="195">
        <f>4564/E150</f>
        <v>0.18069629305589976</v>
      </c>
      <c r="H150" s="45"/>
      <c r="I150" s="40"/>
      <c r="J150" s="37">
        <f t="shared" si="20"/>
        <v>4564</v>
      </c>
      <c r="K150" s="39">
        <f t="shared" si="21"/>
        <v>4564</v>
      </c>
      <c r="L150" s="38">
        <v>0</v>
      </c>
      <c r="M150" s="8"/>
      <c r="N150" s="16"/>
      <c r="O150" s="16"/>
      <c r="P150" s="16"/>
      <c r="Q150" s="16"/>
      <c r="R150" s="16"/>
      <c r="S150" s="16"/>
      <c r="T150" s="16"/>
      <c r="U150" s="16"/>
      <c r="V150" s="16"/>
      <c r="W150" s="8"/>
    </row>
    <row r="151" spans="1:23" x14ac:dyDescent="0.2">
      <c r="A151" s="299"/>
      <c r="B151" s="49" t="s">
        <v>847</v>
      </c>
      <c r="C151" s="58" t="s">
        <v>627</v>
      </c>
      <c r="D151" s="59" t="s">
        <v>580</v>
      </c>
      <c r="E151" s="204">
        <v>41775.086734999997</v>
      </c>
      <c r="F151" s="11"/>
      <c r="G151" s="195">
        <f>7500/E151</f>
        <v>0.17953284089094065</v>
      </c>
      <c r="H151" s="45"/>
      <c r="I151" s="40"/>
      <c r="J151" s="37">
        <f t="shared" si="20"/>
        <v>7500</v>
      </c>
      <c r="K151" s="39">
        <f t="shared" si="21"/>
        <v>7500</v>
      </c>
      <c r="L151" s="38">
        <v>0</v>
      </c>
      <c r="M151" s="8"/>
      <c r="N151" s="16"/>
      <c r="O151" s="16"/>
      <c r="P151" s="16"/>
      <c r="Q151" s="16"/>
      <c r="R151" s="16"/>
      <c r="S151" s="16"/>
      <c r="T151" s="16"/>
      <c r="U151" s="16"/>
      <c r="V151" s="16"/>
      <c r="W151" s="8"/>
    </row>
    <row r="152" spans="1:23" x14ac:dyDescent="0.2">
      <c r="A152" s="299"/>
      <c r="B152" s="49" t="s">
        <v>848</v>
      </c>
      <c r="C152" s="58" t="s">
        <v>628</v>
      </c>
      <c r="D152" s="59" t="s">
        <v>580</v>
      </c>
      <c r="E152" s="204">
        <v>26932.721270999999</v>
      </c>
      <c r="F152" s="11"/>
      <c r="G152" s="195">
        <f>12036/E152</f>
        <v>0.44689134376331474</v>
      </c>
      <c r="H152" s="45"/>
      <c r="I152" s="40"/>
      <c r="J152" s="37">
        <f t="shared" si="20"/>
        <v>12036</v>
      </c>
      <c r="K152" s="39">
        <f t="shared" si="21"/>
        <v>12036</v>
      </c>
      <c r="L152" s="38">
        <v>0</v>
      </c>
      <c r="M152" s="8"/>
      <c r="N152" s="16"/>
      <c r="O152" s="16"/>
      <c r="P152" s="16"/>
      <c r="Q152" s="16"/>
      <c r="R152" s="16"/>
      <c r="S152" s="16"/>
      <c r="T152" s="16"/>
      <c r="U152" s="16"/>
      <c r="V152" s="16"/>
      <c r="W152" s="8"/>
    </row>
    <row r="153" spans="1:23" x14ac:dyDescent="0.2">
      <c r="A153" s="299"/>
      <c r="B153" s="49" t="s">
        <v>848</v>
      </c>
      <c r="C153" s="58" t="s">
        <v>629</v>
      </c>
      <c r="D153" s="59" t="s">
        <v>580</v>
      </c>
      <c r="E153" s="204">
        <v>61000.017161999996</v>
      </c>
      <c r="F153" s="11"/>
      <c r="G153" s="195">
        <f>16324/E153</f>
        <v>0.26760648208750093</v>
      </c>
      <c r="H153" s="45"/>
      <c r="I153" s="40"/>
      <c r="J153" s="37">
        <f t="shared" si="20"/>
        <v>16324.000000000002</v>
      </c>
      <c r="K153" s="39">
        <f t="shared" si="21"/>
        <v>16324.000000000002</v>
      </c>
      <c r="L153" s="38">
        <v>0</v>
      </c>
      <c r="M153" s="8"/>
      <c r="N153" s="16"/>
      <c r="O153" s="16"/>
      <c r="P153" s="16"/>
      <c r="Q153" s="16"/>
      <c r="R153" s="16"/>
      <c r="S153" s="16"/>
      <c r="T153" s="16"/>
      <c r="U153" s="16"/>
      <c r="V153" s="16"/>
      <c r="W153" s="8"/>
    </row>
    <row r="154" spans="1:23" x14ac:dyDescent="0.2">
      <c r="A154" s="299"/>
      <c r="B154" s="49" t="s">
        <v>849</v>
      </c>
      <c r="C154" s="58" t="s">
        <v>630</v>
      </c>
      <c r="D154" s="59" t="s">
        <v>580</v>
      </c>
      <c r="E154" s="204">
        <v>84679.042769000007</v>
      </c>
      <c r="F154" s="11"/>
      <c r="G154" s="195">
        <f>18500/E154</f>
        <v>0.21847200198598171</v>
      </c>
      <c r="H154" s="45"/>
      <c r="I154" s="40"/>
      <c r="J154" s="37">
        <f t="shared" si="20"/>
        <v>18500</v>
      </c>
      <c r="K154" s="39">
        <f t="shared" si="21"/>
        <v>18500</v>
      </c>
      <c r="L154" s="38">
        <v>0</v>
      </c>
      <c r="M154" s="8"/>
      <c r="N154" s="16"/>
      <c r="O154" s="16"/>
      <c r="P154" s="16"/>
      <c r="Q154" s="16"/>
      <c r="R154" s="16"/>
      <c r="S154" s="16"/>
      <c r="T154" s="16"/>
      <c r="U154" s="16"/>
      <c r="V154" s="16"/>
      <c r="W154" s="8"/>
    </row>
    <row r="155" spans="1:23" x14ac:dyDescent="0.2">
      <c r="A155" s="299"/>
      <c r="B155" s="49" t="s">
        <v>8</v>
      </c>
      <c r="C155" s="58" t="s">
        <v>631</v>
      </c>
      <c r="D155" s="59" t="s">
        <v>616</v>
      </c>
      <c r="E155" s="204">
        <v>18947.416116</v>
      </c>
      <c r="F155" s="11"/>
      <c r="G155" s="195">
        <f>2000/E155</f>
        <v>0.10555528984826144</v>
      </c>
      <c r="H155" s="45"/>
      <c r="I155" s="40"/>
      <c r="J155" s="37">
        <f t="shared" si="20"/>
        <v>2000</v>
      </c>
      <c r="K155" s="39">
        <f t="shared" si="21"/>
        <v>2000</v>
      </c>
      <c r="L155" s="38">
        <v>0</v>
      </c>
      <c r="M155" s="8"/>
      <c r="N155" s="16"/>
      <c r="O155" s="16"/>
      <c r="P155" s="16"/>
      <c r="Q155" s="16"/>
      <c r="R155" s="16"/>
      <c r="S155" s="16"/>
      <c r="T155" s="16"/>
      <c r="U155" s="16"/>
      <c r="V155" s="16"/>
      <c r="W155" s="8"/>
    </row>
    <row r="156" spans="1:23" x14ac:dyDescent="0.2">
      <c r="A156" s="299"/>
      <c r="B156" s="49" t="s">
        <v>823</v>
      </c>
      <c r="C156" s="58" t="s">
        <v>632</v>
      </c>
      <c r="D156" s="59" t="s">
        <v>633</v>
      </c>
      <c r="E156" s="204">
        <v>10834.195841999999</v>
      </c>
      <c r="F156" s="11"/>
      <c r="G156" s="195">
        <f>4500/E156</f>
        <v>0.41535154667919472</v>
      </c>
      <c r="H156" s="45"/>
      <c r="I156" s="40"/>
      <c r="J156" s="37">
        <f t="shared" si="20"/>
        <v>4500</v>
      </c>
      <c r="K156" s="39">
        <f t="shared" si="21"/>
        <v>4500</v>
      </c>
      <c r="L156" s="38">
        <v>0</v>
      </c>
      <c r="M156" s="8"/>
      <c r="N156" s="16"/>
      <c r="O156" s="16"/>
      <c r="P156" s="16"/>
      <c r="Q156" s="16"/>
      <c r="R156" s="16"/>
      <c r="S156" s="16"/>
      <c r="T156" s="16"/>
      <c r="U156" s="16"/>
      <c r="V156" s="16"/>
      <c r="W156" s="8"/>
    </row>
    <row r="157" spans="1:23" x14ac:dyDescent="0.2">
      <c r="A157" s="299"/>
      <c r="B157" s="49" t="s">
        <v>850</v>
      </c>
      <c r="C157" s="58" t="s">
        <v>634</v>
      </c>
      <c r="D157" s="59" t="s">
        <v>580</v>
      </c>
      <c r="E157" s="204">
        <v>95983.416805000001</v>
      </c>
      <c r="F157" s="11"/>
      <c r="G157" s="195">
        <f>14500/E157</f>
        <v>0.15106776235584751</v>
      </c>
      <c r="H157" s="45"/>
      <c r="I157" s="40"/>
      <c r="J157" s="37">
        <f t="shared" si="20"/>
        <v>14500</v>
      </c>
      <c r="K157" s="39">
        <f t="shared" si="21"/>
        <v>14500</v>
      </c>
      <c r="L157" s="38">
        <v>0</v>
      </c>
      <c r="M157" s="8"/>
      <c r="N157" s="16"/>
      <c r="O157" s="16"/>
      <c r="P157" s="16"/>
      <c r="Q157" s="16"/>
      <c r="R157" s="16"/>
      <c r="S157" s="16"/>
      <c r="T157" s="16"/>
      <c r="U157" s="16"/>
      <c r="V157" s="16"/>
      <c r="W157" s="8"/>
    </row>
    <row r="158" spans="1:23" x14ac:dyDescent="0.2">
      <c r="A158" s="299"/>
      <c r="B158" s="83" t="s">
        <v>851</v>
      </c>
      <c r="C158" s="84" t="s">
        <v>635</v>
      </c>
      <c r="D158" s="85" t="s">
        <v>580</v>
      </c>
      <c r="E158" s="290">
        <v>33192</v>
      </c>
      <c r="F158" s="292"/>
      <c r="G158" s="293">
        <v>0.13</v>
      </c>
      <c r="H158" s="294"/>
      <c r="I158" s="40"/>
      <c r="J158" s="37">
        <f t="shared" si="20"/>
        <v>4500</v>
      </c>
      <c r="K158" s="39">
        <v>4500</v>
      </c>
      <c r="L158" s="38">
        <v>0</v>
      </c>
      <c r="M158" s="297"/>
      <c r="N158" s="16"/>
      <c r="O158" s="16"/>
      <c r="P158" s="16"/>
      <c r="Q158" s="16"/>
      <c r="R158" s="16"/>
      <c r="S158" s="16"/>
      <c r="T158" s="16"/>
      <c r="U158" s="16"/>
      <c r="V158" s="16"/>
      <c r="W158" s="8"/>
    </row>
    <row r="159" spans="1:23" x14ac:dyDescent="0.2">
      <c r="A159" s="299"/>
      <c r="B159" s="49" t="s">
        <v>8</v>
      </c>
      <c r="C159" s="58" t="s">
        <v>636</v>
      </c>
      <c r="D159" s="59" t="s">
        <v>580</v>
      </c>
      <c r="E159" s="204">
        <v>33941.582427000001</v>
      </c>
      <c r="F159" s="11"/>
      <c r="G159" s="195">
        <f>6000/E159</f>
        <v>0.17677431548468681</v>
      </c>
      <c r="H159" s="45"/>
      <c r="I159" s="40"/>
      <c r="J159" s="37">
        <f t="shared" si="20"/>
        <v>6000</v>
      </c>
      <c r="K159" s="39">
        <f t="shared" si="21"/>
        <v>6000</v>
      </c>
      <c r="L159" s="38">
        <v>0</v>
      </c>
      <c r="M159" s="8"/>
      <c r="N159" s="16"/>
      <c r="O159" s="16"/>
      <c r="P159" s="16"/>
      <c r="Q159" s="16"/>
      <c r="R159" s="16"/>
      <c r="S159" s="16"/>
      <c r="T159" s="16"/>
      <c r="U159" s="16"/>
      <c r="V159" s="16"/>
      <c r="W159" s="8"/>
    </row>
    <row r="160" spans="1:23" x14ac:dyDescent="0.2">
      <c r="A160" s="299"/>
      <c r="B160" s="49" t="s">
        <v>819</v>
      </c>
      <c r="C160" s="58" t="s">
        <v>637</v>
      </c>
      <c r="D160" s="59" t="s">
        <v>761</v>
      </c>
      <c r="E160" s="204">
        <v>31045.165115</v>
      </c>
      <c r="F160" s="11"/>
      <c r="G160" s="195">
        <f>4631/31150</f>
        <v>0.1486677367576244</v>
      </c>
      <c r="H160" s="45"/>
      <c r="I160" s="40"/>
      <c r="J160" s="37">
        <f t="shared" si="20"/>
        <v>4615.4144349138041</v>
      </c>
      <c r="K160" s="39">
        <f t="shared" si="21"/>
        <v>4615.4144349138041</v>
      </c>
      <c r="L160" s="38">
        <v>0</v>
      </c>
      <c r="M160" s="8"/>
      <c r="N160" s="16"/>
      <c r="O160" s="16"/>
      <c r="P160" s="16"/>
      <c r="Q160" s="16"/>
      <c r="R160" s="16"/>
      <c r="S160" s="16"/>
      <c r="T160" s="16"/>
      <c r="U160" s="16"/>
      <c r="V160" s="16"/>
      <c r="W160" s="8"/>
    </row>
    <row r="161" spans="1:23" x14ac:dyDescent="0.2">
      <c r="A161" s="299"/>
      <c r="B161" s="49" t="s">
        <v>206</v>
      </c>
      <c r="C161" s="58" t="s">
        <v>638</v>
      </c>
      <c r="D161" s="59" t="s">
        <v>580</v>
      </c>
      <c r="E161" s="204">
        <v>5173</v>
      </c>
      <c r="F161" s="11"/>
      <c r="G161" s="195">
        <f>465/E161</f>
        <v>8.9889812487918039E-2</v>
      </c>
      <c r="H161" s="45"/>
      <c r="I161" s="40"/>
      <c r="J161" s="37">
        <f t="shared" si="20"/>
        <v>465</v>
      </c>
      <c r="K161" s="39">
        <f t="shared" si="21"/>
        <v>465</v>
      </c>
      <c r="L161" s="38">
        <v>0</v>
      </c>
      <c r="M161" s="8"/>
      <c r="N161" s="16"/>
      <c r="O161" s="16"/>
      <c r="P161" s="16"/>
      <c r="Q161" s="16"/>
      <c r="R161" s="16"/>
      <c r="S161" s="16"/>
      <c r="T161" s="16"/>
      <c r="U161" s="16"/>
      <c r="V161" s="16"/>
      <c r="W161" s="8"/>
    </row>
    <row r="162" spans="1:23" x14ac:dyDescent="0.2">
      <c r="A162" s="299"/>
      <c r="B162" s="49" t="s">
        <v>206</v>
      </c>
      <c r="C162" s="58" t="s">
        <v>873</v>
      </c>
      <c r="D162" s="59" t="s">
        <v>580</v>
      </c>
      <c r="E162" s="204">
        <v>1159</v>
      </c>
      <c r="F162" s="11"/>
      <c r="G162" s="195">
        <f>650/E162</f>
        <v>0.56082830025884378</v>
      </c>
      <c r="H162" s="45"/>
      <c r="I162" s="40"/>
      <c r="J162" s="37">
        <f t="shared" si="20"/>
        <v>649.99999999999989</v>
      </c>
      <c r="K162" s="39">
        <f t="shared" si="21"/>
        <v>649.99999999999989</v>
      </c>
      <c r="L162" s="38">
        <v>0</v>
      </c>
      <c r="M162" s="8"/>
      <c r="N162" s="16"/>
      <c r="O162" s="16"/>
      <c r="P162" s="16"/>
      <c r="Q162" s="16"/>
      <c r="R162" s="16"/>
      <c r="S162" s="16"/>
      <c r="T162" s="16"/>
      <c r="U162" s="16"/>
      <c r="V162" s="16"/>
      <c r="W162" s="8"/>
    </row>
    <row r="163" spans="1:23" x14ac:dyDescent="0.2">
      <c r="A163" s="299"/>
      <c r="B163" s="49" t="s">
        <v>201</v>
      </c>
      <c r="C163" s="58" t="s">
        <v>639</v>
      </c>
      <c r="D163" s="59" t="s">
        <v>614</v>
      </c>
      <c r="E163" s="204">
        <v>11376</v>
      </c>
      <c r="F163" s="11"/>
      <c r="G163" s="195">
        <f>2304/E163</f>
        <v>0.20253164556962025</v>
      </c>
      <c r="H163" s="45"/>
      <c r="I163" s="40"/>
      <c r="J163" s="37">
        <f t="shared" si="20"/>
        <v>2304</v>
      </c>
      <c r="K163" s="39">
        <f t="shared" si="21"/>
        <v>2304</v>
      </c>
      <c r="L163" s="38">
        <v>0</v>
      </c>
      <c r="M163" s="8"/>
      <c r="N163" s="16"/>
      <c r="O163" s="16"/>
      <c r="P163" s="16"/>
      <c r="Q163" s="16"/>
      <c r="R163" s="16"/>
      <c r="S163" s="16"/>
      <c r="T163" s="16"/>
      <c r="U163" s="16"/>
      <c r="V163" s="16"/>
      <c r="W163" s="8"/>
    </row>
    <row r="164" spans="1:23" x14ac:dyDescent="0.2">
      <c r="A164" s="299"/>
      <c r="B164" s="49" t="s">
        <v>201</v>
      </c>
      <c r="C164" s="58" t="s">
        <v>640</v>
      </c>
      <c r="D164" s="59" t="s">
        <v>614</v>
      </c>
      <c r="E164" s="204">
        <v>24135</v>
      </c>
      <c r="F164" s="11"/>
      <c r="G164" s="195">
        <f>9784/E164</f>
        <v>0.40538636834472758</v>
      </c>
      <c r="H164" s="45"/>
      <c r="I164" s="40"/>
      <c r="J164" s="37">
        <f t="shared" si="20"/>
        <v>9784</v>
      </c>
      <c r="K164" s="39">
        <f t="shared" si="21"/>
        <v>9784</v>
      </c>
      <c r="L164" s="38">
        <v>0</v>
      </c>
      <c r="M164" s="8"/>
      <c r="N164" s="16"/>
      <c r="O164" s="16"/>
      <c r="P164" s="16"/>
      <c r="Q164" s="16"/>
      <c r="R164" s="16"/>
      <c r="S164" s="16"/>
      <c r="T164" s="16"/>
      <c r="U164" s="16"/>
      <c r="V164" s="16"/>
      <c r="W164" s="8"/>
    </row>
    <row r="165" spans="1:23" x14ac:dyDescent="0.2">
      <c r="A165" s="299"/>
      <c r="B165" s="49" t="s">
        <v>852</v>
      </c>
      <c r="C165" s="58" t="s">
        <v>641</v>
      </c>
      <c r="D165" s="59" t="s">
        <v>614</v>
      </c>
      <c r="E165" s="204">
        <v>21971</v>
      </c>
      <c r="F165" s="11"/>
      <c r="G165" s="195">
        <f>2500/E165</f>
        <v>0.11378635474033953</v>
      </c>
      <c r="H165" s="45"/>
      <c r="I165" s="40"/>
      <c r="J165" s="37">
        <f t="shared" si="20"/>
        <v>2500</v>
      </c>
      <c r="K165" s="39">
        <f t="shared" si="21"/>
        <v>2500</v>
      </c>
      <c r="L165" s="38">
        <v>0</v>
      </c>
      <c r="M165" s="8"/>
      <c r="N165" s="16"/>
      <c r="O165" s="16"/>
      <c r="P165" s="16"/>
      <c r="Q165" s="16"/>
      <c r="R165" s="16"/>
      <c r="S165" s="16"/>
      <c r="T165" s="16"/>
      <c r="U165" s="16"/>
      <c r="V165" s="16"/>
      <c r="W165" s="8"/>
    </row>
    <row r="166" spans="1:23" x14ac:dyDescent="0.2">
      <c r="A166" s="299"/>
      <c r="B166" s="49" t="s">
        <v>853</v>
      </c>
      <c r="C166" s="58" t="s">
        <v>642</v>
      </c>
      <c r="D166" s="59" t="s">
        <v>614</v>
      </c>
      <c r="E166" s="204">
        <v>9913.1106930000005</v>
      </c>
      <c r="F166" s="11"/>
      <c r="G166" s="195">
        <f>1000/E166</f>
        <v>0.1008765089959235</v>
      </c>
      <c r="H166" s="45"/>
      <c r="I166" s="40"/>
      <c r="J166" s="37">
        <f t="shared" si="20"/>
        <v>1000</v>
      </c>
      <c r="K166" s="39">
        <f t="shared" si="21"/>
        <v>1000</v>
      </c>
      <c r="L166" s="38">
        <v>0</v>
      </c>
      <c r="M166" s="8"/>
      <c r="N166" s="16"/>
      <c r="O166" s="16"/>
      <c r="P166" s="16"/>
      <c r="Q166" s="16"/>
      <c r="R166" s="16"/>
      <c r="S166" s="16"/>
      <c r="T166" s="16"/>
      <c r="U166" s="16"/>
      <c r="V166" s="16"/>
      <c r="W166" s="8"/>
    </row>
    <row r="167" spans="1:23" x14ac:dyDescent="0.2">
      <c r="A167" s="299"/>
      <c r="B167" s="49" t="s">
        <v>854</v>
      </c>
      <c r="C167" s="58" t="s">
        <v>643</v>
      </c>
      <c r="D167" s="59" t="s">
        <v>614</v>
      </c>
      <c r="E167" s="204">
        <v>31562</v>
      </c>
      <c r="F167" s="11"/>
      <c r="G167" s="195">
        <f>4353/E167</f>
        <v>0.13791901653887587</v>
      </c>
      <c r="H167" s="45"/>
      <c r="I167" s="40"/>
      <c r="J167" s="37">
        <f t="shared" si="20"/>
        <v>4353</v>
      </c>
      <c r="K167" s="39">
        <f t="shared" si="21"/>
        <v>4353</v>
      </c>
      <c r="L167" s="38">
        <v>0</v>
      </c>
      <c r="M167" s="8"/>
      <c r="N167" s="16"/>
      <c r="O167" s="16"/>
      <c r="P167" s="16"/>
      <c r="Q167" s="16"/>
      <c r="R167" s="16"/>
      <c r="S167" s="16"/>
      <c r="T167" s="16"/>
      <c r="U167" s="16"/>
      <c r="V167" s="16"/>
      <c r="W167" s="8"/>
    </row>
    <row r="168" spans="1:23" x14ac:dyDescent="0.2">
      <c r="A168" s="299"/>
      <c r="B168" s="49" t="s">
        <v>848</v>
      </c>
      <c r="C168" s="58" t="s">
        <v>644</v>
      </c>
      <c r="D168" s="59" t="s">
        <v>614</v>
      </c>
      <c r="E168" s="204">
        <v>1932.5605869999999</v>
      </c>
      <c r="F168" s="11"/>
      <c r="G168" s="195">
        <f>581/E168</f>
        <v>0.30063740506159875</v>
      </c>
      <c r="H168" s="45"/>
      <c r="I168" s="40"/>
      <c r="J168" s="37">
        <f t="shared" si="20"/>
        <v>581</v>
      </c>
      <c r="K168" s="39">
        <f t="shared" si="21"/>
        <v>581</v>
      </c>
      <c r="L168" s="38">
        <v>0</v>
      </c>
      <c r="M168" s="8"/>
      <c r="N168" s="16"/>
      <c r="O168" s="16"/>
      <c r="P168" s="16"/>
      <c r="Q168" s="16"/>
      <c r="R168" s="16"/>
      <c r="S168" s="16"/>
      <c r="T168" s="16"/>
      <c r="U168" s="16"/>
      <c r="V168" s="16"/>
      <c r="W168" s="8"/>
    </row>
    <row r="169" spans="1:23" x14ac:dyDescent="0.2">
      <c r="A169" s="299"/>
      <c r="B169" s="49" t="s">
        <v>206</v>
      </c>
      <c r="C169" s="58" t="s">
        <v>645</v>
      </c>
      <c r="D169" s="59" t="s">
        <v>614</v>
      </c>
      <c r="E169" s="204">
        <v>9002</v>
      </c>
      <c r="F169" s="11"/>
      <c r="G169" s="195">
        <f>2500/E169</f>
        <v>0.27771606309708952</v>
      </c>
      <c r="H169" s="45"/>
      <c r="I169" s="40"/>
      <c r="J169" s="37">
        <f t="shared" si="20"/>
        <v>2500</v>
      </c>
      <c r="K169" s="39">
        <f t="shared" si="21"/>
        <v>2500</v>
      </c>
      <c r="L169" s="38">
        <v>0</v>
      </c>
      <c r="M169" s="8"/>
      <c r="N169" s="16"/>
      <c r="O169" s="16"/>
      <c r="P169" s="16"/>
      <c r="Q169" s="16"/>
      <c r="R169" s="16"/>
      <c r="S169" s="16"/>
      <c r="T169" s="16"/>
      <c r="U169" s="16"/>
      <c r="V169" s="16"/>
      <c r="W169" s="8"/>
    </row>
    <row r="170" spans="1:23" x14ac:dyDescent="0.2">
      <c r="A170" s="299"/>
      <c r="B170" s="49" t="s">
        <v>201</v>
      </c>
      <c r="C170" s="58" t="s">
        <v>646</v>
      </c>
      <c r="D170" s="59" t="s">
        <v>614</v>
      </c>
      <c r="E170" s="204">
        <v>23565.838221999998</v>
      </c>
      <c r="F170" s="11"/>
      <c r="G170" s="195">
        <f>5738/E170</f>
        <v>0.24348805019985512</v>
      </c>
      <c r="H170" s="45"/>
      <c r="I170" s="40"/>
      <c r="J170" s="37">
        <f t="shared" si="20"/>
        <v>5738</v>
      </c>
      <c r="K170" s="39">
        <f t="shared" si="21"/>
        <v>5738</v>
      </c>
      <c r="L170" s="38">
        <v>0</v>
      </c>
      <c r="M170" s="8"/>
      <c r="N170" s="16"/>
      <c r="O170" s="16"/>
      <c r="P170" s="16"/>
      <c r="Q170" s="16"/>
      <c r="R170" s="16"/>
      <c r="S170" s="16"/>
      <c r="T170" s="16"/>
      <c r="U170" s="16"/>
      <c r="V170" s="16"/>
      <c r="W170" s="8"/>
    </row>
    <row r="171" spans="1:23" x14ac:dyDescent="0.2">
      <c r="A171" s="299"/>
      <c r="B171" s="49" t="s">
        <v>201</v>
      </c>
      <c r="C171" s="58" t="s">
        <v>647</v>
      </c>
      <c r="D171" s="59" t="s">
        <v>614</v>
      </c>
      <c r="E171" s="204">
        <v>1155.427543</v>
      </c>
      <c r="F171" s="11"/>
      <c r="G171" s="195">
        <f>1100/E171</f>
        <v>0.95202854273658244</v>
      </c>
      <c r="H171" s="45"/>
      <c r="I171" s="40"/>
      <c r="J171" s="37">
        <f t="shared" si="20"/>
        <v>1100</v>
      </c>
      <c r="K171" s="39">
        <f t="shared" si="21"/>
        <v>1100</v>
      </c>
      <c r="L171" s="38">
        <v>0</v>
      </c>
      <c r="M171" s="8"/>
      <c r="N171" s="16"/>
      <c r="O171" s="16"/>
      <c r="P171" s="16"/>
      <c r="Q171" s="16"/>
      <c r="R171" s="16"/>
      <c r="S171" s="16"/>
      <c r="T171" s="16"/>
      <c r="U171" s="16"/>
      <c r="V171" s="16"/>
      <c r="W171" s="8"/>
    </row>
    <row r="172" spans="1:23" x14ac:dyDescent="0.2">
      <c r="A172" s="299"/>
      <c r="B172" s="49" t="s">
        <v>845</v>
      </c>
      <c r="C172" s="58" t="s">
        <v>648</v>
      </c>
      <c r="D172" s="59" t="s">
        <v>615</v>
      </c>
      <c r="E172" s="204">
        <v>11739.350562</v>
      </c>
      <c r="F172" s="11"/>
      <c r="G172" s="195">
        <f>7000/E172</f>
        <v>0.59628511500958448</v>
      </c>
      <c r="H172" s="45"/>
      <c r="I172" s="40"/>
      <c r="J172" s="37">
        <f t="shared" si="20"/>
        <v>7000</v>
      </c>
      <c r="K172" s="39">
        <f t="shared" si="21"/>
        <v>7000</v>
      </c>
      <c r="L172" s="38">
        <v>0</v>
      </c>
      <c r="M172" s="8"/>
      <c r="N172" s="16"/>
      <c r="O172" s="16"/>
      <c r="P172" s="16"/>
      <c r="Q172" s="16"/>
      <c r="R172" s="16"/>
      <c r="S172" s="16"/>
      <c r="T172" s="16"/>
      <c r="U172" s="16"/>
      <c r="V172" s="16"/>
      <c r="W172" s="8"/>
    </row>
    <row r="173" spans="1:23" x14ac:dyDescent="0.2">
      <c r="A173" s="299"/>
      <c r="B173" s="49" t="s">
        <v>823</v>
      </c>
      <c r="C173" s="58" t="s">
        <v>649</v>
      </c>
      <c r="D173" s="59" t="s">
        <v>614</v>
      </c>
      <c r="E173" s="204">
        <v>11758</v>
      </c>
      <c r="F173" s="11"/>
      <c r="G173" s="195">
        <f>2000/E173</f>
        <v>0.17009695526450078</v>
      </c>
      <c r="H173" s="45"/>
      <c r="I173" s="40"/>
      <c r="J173" s="37">
        <f t="shared" si="20"/>
        <v>2000.0000000000002</v>
      </c>
      <c r="K173" s="39">
        <f t="shared" si="21"/>
        <v>2000.0000000000002</v>
      </c>
      <c r="L173" s="38">
        <v>0</v>
      </c>
      <c r="M173" s="8"/>
      <c r="N173" s="16"/>
      <c r="O173" s="16"/>
      <c r="P173" s="16"/>
      <c r="Q173" s="16"/>
      <c r="R173" s="16"/>
      <c r="S173" s="16"/>
      <c r="T173" s="16"/>
      <c r="U173" s="16"/>
      <c r="V173" s="16"/>
      <c r="W173" s="8"/>
    </row>
    <row r="174" spans="1:23" x14ac:dyDescent="0.2">
      <c r="A174" s="299"/>
      <c r="B174" s="49" t="s">
        <v>206</v>
      </c>
      <c r="C174" s="58" t="s">
        <v>650</v>
      </c>
      <c r="D174" s="59" t="s">
        <v>614</v>
      </c>
      <c r="E174" s="204">
        <v>8559.3442479999994</v>
      </c>
      <c r="F174" s="11"/>
      <c r="G174" s="195">
        <f>1540/E174</f>
        <v>0.17992032513002859</v>
      </c>
      <c r="H174" s="45"/>
      <c r="I174" s="40"/>
      <c r="J174" s="37">
        <f t="shared" si="20"/>
        <v>1540</v>
      </c>
      <c r="K174" s="39">
        <f t="shared" si="21"/>
        <v>1540</v>
      </c>
      <c r="L174" s="38">
        <v>0</v>
      </c>
      <c r="M174" s="8"/>
      <c r="N174" s="16"/>
      <c r="O174" s="16"/>
      <c r="P174" s="16"/>
      <c r="Q174" s="16"/>
      <c r="R174" s="16"/>
      <c r="S174" s="16"/>
      <c r="T174" s="16"/>
      <c r="U174" s="16"/>
      <c r="V174" s="16"/>
      <c r="W174" s="8"/>
    </row>
    <row r="175" spans="1:23" x14ac:dyDescent="0.2">
      <c r="A175" s="299"/>
      <c r="B175" s="49" t="s">
        <v>855</v>
      </c>
      <c r="C175" s="58" t="s">
        <v>651</v>
      </c>
      <c r="D175" s="59" t="s">
        <v>614</v>
      </c>
      <c r="E175" s="204">
        <v>14427</v>
      </c>
      <c r="F175" s="11"/>
      <c r="G175" s="195">
        <f>2164/E175</f>
        <v>0.14999653427601026</v>
      </c>
      <c r="H175" s="45"/>
      <c r="I175" s="40"/>
      <c r="J175" s="37">
        <f t="shared" si="20"/>
        <v>2164</v>
      </c>
      <c r="K175" s="39">
        <f t="shared" si="21"/>
        <v>2164</v>
      </c>
      <c r="L175" s="38">
        <v>0</v>
      </c>
      <c r="M175" s="8"/>
      <c r="N175" s="16"/>
      <c r="O175" s="16"/>
      <c r="P175" s="16"/>
      <c r="Q175" s="16"/>
      <c r="R175" s="16"/>
      <c r="S175" s="16"/>
      <c r="T175" s="16"/>
      <c r="U175" s="16"/>
      <c r="V175" s="16"/>
      <c r="W175" s="8"/>
    </row>
    <row r="176" spans="1:23" x14ac:dyDescent="0.2">
      <c r="A176" s="299"/>
      <c r="B176" s="49" t="s">
        <v>854</v>
      </c>
      <c r="C176" s="58" t="s">
        <v>652</v>
      </c>
      <c r="D176" s="59" t="s">
        <v>614</v>
      </c>
      <c r="E176" s="204">
        <v>20521</v>
      </c>
      <c r="F176" s="11"/>
      <c r="G176" s="195">
        <f>10487/E176</f>
        <v>0.51103747380731934</v>
      </c>
      <c r="H176" s="45"/>
      <c r="I176" s="40"/>
      <c r="J176" s="37">
        <f t="shared" si="20"/>
        <v>10487</v>
      </c>
      <c r="K176" s="39">
        <f t="shared" si="21"/>
        <v>10487</v>
      </c>
      <c r="L176" s="38">
        <v>0</v>
      </c>
      <c r="M176" s="8"/>
      <c r="N176" s="16"/>
      <c r="O176" s="16"/>
      <c r="P176" s="16"/>
      <c r="Q176" s="16"/>
      <c r="R176" s="16"/>
      <c r="S176" s="16"/>
      <c r="T176" s="16"/>
      <c r="U176" s="16"/>
      <c r="V176" s="16"/>
      <c r="W176" s="8"/>
    </row>
    <row r="177" spans="1:24" x14ac:dyDescent="0.2">
      <c r="A177" s="299"/>
      <c r="B177" s="49" t="s">
        <v>856</v>
      </c>
      <c r="C177" s="58" t="s">
        <v>653</v>
      </c>
      <c r="D177" s="59" t="s">
        <v>614</v>
      </c>
      <c r="E177" s="204">
        <v>7208.5001659999998</v>
      </c>
      <c r="F177" s="11"/>
      <c r="G177" s="195">
        <f>2577/E177</f>
        <v>0.3574946161692299</v>
      </c>
      <c r="H177" s="45"/>
      <c r="I177" s="40"/>
      <c r="J177" s="37">
        <f t="shared" si="20"/>
        <v>2577</v>
      </c>
      <c r="K177" s="39">
        <f t="shared" si="21"/>
        <v>2577</v>
      </c>
      <c r="L177" s="38">
        <v>0</v>
      </c>
      <c r="M177" s="8"/>
      <c r="N177" s="16"/>
      <c r="O177" s="16"/>
      <c r="P177" s="16"/>
      <c r="Q177" s="16"/>
      <c r="R177" s="16"/>
      <c r="S177" s="16"/>
      <c r="T177" s="16"/>
      <c r="U177" s="16"/>
      <c r="V177" s="16"/>
      <c r="W177" s="8"/>
    </row>
    <row r="178" spans="1:24" x14ac:dyDescent="0.2">
      <c r="A178" s="299"/>
      <c r="B178" s="49" t="s">
        <v>857</v>
      </c>
      <c r="C178" s="58" t="s">
        <v>654</v>
      </c>
      <c r="D178" s="59" t="s">
        <v>614</v>
      </c>
      <c r="E178" s="204">
        <v>6176</v>
      </c>
      <c r="F178" s="11"/>
      <c r="G178" s="195">
        <v>0.51</v>
      </c>
      <c r="H178" s="45"/>
      <c r="I178" s="40"/>
      <c r="J178" s="37">
        <f t="shared" si="20"/>
        <v>3149.76</v>
      </c>
      <c r="K178" s="39">
        <f t="shared" si="21"/>
        <v>3149.76</v>
      </c>
      <c r="L178" s="38">
        <v>0</v>
      </c>
      <c r="M178" s="8"/>
      <c r="N178" s="16"/>
      <c r="O178" s="16"/>
      <c r="P178" s="16"/>
      <c r="Q178" s="16"/>
      <c r="R178" s="16"/>
      <c r="S178" s="16"/>
      <c r="T178" s="16"/>
      <c r="U178" s="16"/>
      <c r="V178" s="16"/>
      <c r="W178" s="8"/>
    </row>
    <row r="179" spans="1:24" x14ac:dyDescent="0.2">
      <c r="A179" s="299"/>
      <c r="B179" s="49" t="s">
        <v>845</v>
      </c>
      <c r="C179" s="58" t="s">
        <v>655</v>
      </c>
      <c r="D179" s="59" t="s">
        <v>612</v>
      </c>
      <c r="E179" s="204">
        <v>23053</v>
      </c>
      <c r="F179" s="11"/>
      <c r="G179" s="195">
        <f>4500/E179</f>
        <v>0.19520235977963823</v>
      </c>
      <c r="H179" s="45"/>
      <c r="I179" s="40"/>
      <c r="J179" s="37">
        <f t="shared" si="20"/>
        <v>4500</v>
      </c>
      <c r="K179" s="39">
        <f t="shared" si="21"/>
        <v>4500</v>
      </c>
      <c r="L179" s="38">
        <v>0</v>
      </c>
      <c r="M179" s="8"/>
      <c r="N179" s="16"/>
      <c r="O179" s="16"/>
      <c r="P179" s="16"/>
      <c r="Q179" s="16"/>
      <c r="R179" s="16"/>
      <c r="S179" s="16"/>
      <c r="T179" s="16"/>
      <c r="U179" s="16"/>
      <c r="V179" s="16"/>
      <c r="W179" s="8"/>
    </row>
    <row r="180" spans="1:24" customFormat="1" x14ac:dyDescent="0.2">
      <c r="A180" s="299"/>
      <c r="B180" s="49" t="s">
        <v>67</v>
      </c>
      <c r="C180" s="58" t="s">
        <v>218</v>
      </c>
      <c r="D180" s="59" t="s">
        <v>762</v>
      </c>
      <c r="E180" s="305">
        <v>23345.571512999999</v>
      </c>
      <c r="F180" s="162">
        <v>1350</v>
      </c>
      <c r="G180" s="302">
        <f>SUM(K180:K193)/E180</f>
        <v>0.26056333624613459</v>
      </c>
      <c r="H180" s="162">
        <f>310/F180</f>
        <v>0.22962962962962963</v>
      </c>
      <c r="I180" s="40">
        <v>0</v>
      </c>
      <c r="J180" s="63">
        <f t="shared" si="20"/>
        <v>310</v>
      </c>
      <c r="K180" s="39">
        <f t="shared" ref="K180:K190" si="22">F180*H180</f>
        <v>310</v>
      </c>
      <c r="L180" s="38">
        <v>0</v>
      </c>
    </row>
    <row r="181" spans="1:24" customFormat="1" x14ac:dyDescent="0.2">
      <c r="A181" s="299"/>
      <c r="B181" s="49" t="s">
        <v>67</v>
      </c>
      <c r="C181" s="58" t="s">
        <v>218</v>
      </c>
      <c r="D181" s="59" t="s">
        <v>763</v>
      </c>
      <c r="E181" s="306"/>
      <c r="F181" s="162">
        <v>1495</v>
      </c>
      <c r="G181" s="303"/>
      <c r="H181" s="162">
        <f t="shared" ref="H181:H271" si="23">310/F181</f>
        <v>0.20735785953177258</v>
      </c>
      <c r="I181" s="40">
        <v>0</v>
      </c>
      <c r="J181" s="63">
        <f t="shared" si="20"/>
        <v>310</v>
      </c>
      <c r="K181" s="39">
        <f t="shared" si="22"/>
        <v>310</v>
      </c>
      <c r="L181" s="38">
        <v>0</v>
      </c>
    </row>
    <row r="182" spans="1:24" customFormat="1" x14ac:dyDescent="0.2">
      <c r="A182" s="299"/>
      <c r="B182" s="49" t="s">
        <v>67</v>
      </c>
      <c r="C182" s="58" t="s">
        <v>218</v>
      </c>
      <c r="D182" s="59" t="s">
        <v>764</v>
      </c>
      <c r="E182" s="306"/>
      <c r="F182" s="162">
        <v>663</v>
      </c>
      <c r="G182" s="303"/>
      <c r="H182" s="162">
        <f t="shared" si="23"/>
        <v>0.46757164404223228</v>
      </c>
      <c r="I182" s="40">
        <v>0</v>
      </c>
      <c r="J182" s="63">
        <f t="shared" si="20"/>
        <v>310</v>
      </c>
      <c r="K182" s="39">
        <f t="shared" si="22"/>
        <v>310</v>
      </c>
      <c r="L182" s="38">
        <v>0</v>
      </c>
    </row>
    <row r="183" spans="1:24" customFormat="1" x14ac:dyDescent="0.2">
      <c r="A183" s="299"/>
      <c r="B183" s="83" t="s">
        <v>67</v>
      </c>
      <c r="C183" s="84" t="s">
        <v>218</v>
      </c>
      <c r="D183" s="85" t="s">
        <v>765</v>
      </c>
      <c r="E183" s="306"/>
      <c r="F183" s="162">
        <v>871</v>
      </c>
      <c r="G183" s="303"/>
      <c r="H183" s="162">
        <f>310/F183</f>
        <v>0.35591274397244549</v>
      </c>
      <c r="I183" s="40">
        <v>0</v>
      </c>
      <c r="J183" s="63">
        <f t="shared" si="20"/>
        <v>310</v>
      </c>
      <c r="K183" s="39">
        <f t="shared" si="22"/>
        <v>310</v>
      </c>
      <c r="L183" s="38">
        <v>0</v>
      </c>
    </row>
    <row r="184" spans="1:24" customFormat="1" x14ac:dyDescent="0.2">
      <c r="A184" s="299"/>
      <c r="B184" s="83" t="s">
        <v>67</v>
      </c>
      <c r="C184" s="84" t="s">
        <v>218</v>
      </c>
      <c r="D184" s="85" t="s">
        <v>896</v>
      </c>
      <c r="E184" s="306"/>
      <c r="F184" s="162">
        <v>316</v>
      </c>
      <c r="G184" s="303"/>
      <c r="H184" s="162">
        <v>0</v>
      </c>
      <c r="I184" s="40">
        <v>0</v>
      </c>
      <c r="J184" s="63">
        <v>0</v>
      </c>
      <c r="K184" s="39">
        <f t="shared" ref="K184" si="24">F184*H184</f>
        <v>0</v>
      </c>
      <c r="L184" s="38">
        <v>0</v>
      </c>
    </row>
    <row r="185" spans="1:24" s="270" customFormat="1" x14ac:dyDescent="0.2">
      <c r="A185" s="299"/>
      <c r="B185" s="266" t="s">
        <v>67</v>
      </c>
      <c r="C185" s="267" t="s">
        <v>218</v>
      </c>
      <c r="D185" s="268" t="s">
        <v>766</v>
      </c>
      <c r="E185" s="306"/>
      <c r="F185" s="269">
        <v>1600</v>
      </c>
      <c r="G185" s="303"/>
      <c r="H185" s="162">
        <f>(I185+J185)/F185</f>
        <v>0.42749999999999999</v>
      </c>
      <c r="I185" s="40">
        <v>374</v>
      </c>
      <c r="J185" s="63">
        <v>310</v>
      </c>
      <c r="K185" s="39">
        <f t="shared" si="22"/>
        <v>684</v>
      </c>
      <c r="L185" s="38">
        <v>0</v>
      </c>
    </row>
    <row r="186" spans="1:24" customFormat="1" x14ac:dyDescent="0.2">
      <c r="A186" s="299"/>
      <c r="B186" s="83" t="s">
        <v>67</v>
      </c>
      <c r="C186" s="84" t="s">
        <v>218</v>
      </c>
      <c r="D186" s="85" t="s">
        <v>767</v>
      </c>
      <c r="E186" s="306"/>
      <c r="F186" s="162">
        <v>1159</v>
      </c>
      <c r="G186" s="303"/>
      <c r="H186" s="162">
        <f t="shared" si="23"/>
        <v>0.26747195858498707</v>
      </c>
      <c r="I186" s="40">
        <v>0</v>
      </c>
      <c r="J186" s="63">
        <f t="shared" si="20"/>
        <v>310</v>
      </c>
      <c r="K186" s="39">
        <f t="shared" si="22"/>
        <v>310</v>
      </c>
      <c r="L186" s="38">
        <v>0</v>
      </c>
    </row>
    <row r="187" spans="1:24" customFormat="1" x14ac:dyDescent="0.2">
      <c r="A187" s="299"/>
      <c r="B187" s="49" t="s">
        <v>67</v>
      </c>
      <c r="C187" s="58" t="s">
        <v>218</v>
      </c>
      <c r="D187" s="59" t="s">
        <v>768</v>
      </c>
      <c r="E187" s="306"/>
      <c r="F187" s="162">
        <v>517</v>
      </c>
      <c r="G187" s="303"/>
      <c r="H187" s="162">
        <f t="shared" si="23"/>
        <v>0.59961315280464211</v>
      </c>
      <c r="I187" s="40">
        <v>0</v>
      </c>
      <c r="J187" s="63">
        <f t="shared" si="20"/>
        <v>310</v>
      </c>
      <c r="K187" s="39">
        <f t="shared" si="22"/>
        <v>310</v>
      </c>
      <c r="L187" s="38">
        <v>0</v>
      </c>
    </row>
    <row r="188" spans="1:24" customFormat="1" x14ac:dyDescent="0.2">
      <c r="A188" s="299"/>
      <c r="B188" s="49" t="s">
        <v>67</v>
      </c>
      <c r="C188" s="58" t="s">
        <v>218</v>
      </c>
      <c r="D188" s="59" t="s">
        <v>769</v>
      </c>
      <c r="E188" s="306"/>
      <c r="F188" s="162">
        <v>1084</v>
      </c>
      <c r="G188" s="303"/>
      <c r="H188" s="162">
        <f>310/F188</f>
        <v>0.2859778597785978</v>
      </c>
      <c r="I188" s="40">
        <v>0</v>
      </c>
      <c r="J188" s="63">
        <f t="shared" si="20"/>
        <v>310</v>
      </c>
      <c r="K188" s="39">
        <f t="shared" si="22"/>
        <v>310</v>
      </c>
      <c r="L188" s="38">
        <v>0</v>
      </c>
    </row>
    <row r="189" spans="1:24" customFormat="1" x14ac:dyDescent="0.2">
      <c r="A189" s="299"/>
      <c r="B189" s="49" t="s">
        <v>67</v>
      </c>
      <c r="C189" s="58" t="s">
        <v>218</v>
      </c>
      <c r="D189" s="59" t="s">
        <v>770</v>
      </c>
      <c r="E189" s="306"/>
      <c r="F189" s="162">
        <v>1360</v>
      </c>
      <c r="G189" s="303"/>
      <c r="H189" s="162">
        <f>310/F189</f>
        <v>0.22794117647058823</v>
      </c>
      <c r="I189" s="40">
        <v>0</v>
      </c>
      <c r="J189" s="63">
        <f t="shared" si="20"/>
        <v>310</v>
      </c>
      <c r="K189" s="39">
        <f t="shared" si="22"/>
        <v>310</v>
      </c>
      <c r="L189" s="38">
        <v>0</v>
      </c>
    </row>
    <row r="190" spans="1:24" customFormat="1" x14ac:dyDescent="0.2">
      <c r="A190" s="299"/>
      <c r="B190" s="266" t="s">
        <v>67</v>
      </c>
      <c r="C190" s="267" t="s">
        <v>218</v>
      </c>
      <c r="D190" s="268" t="s">
        <v>771</v>
      </c>
      <c r="E190" s="306"/>
      <c r="F190" s="162">
        <v>1434</v>
      </c>
      <c r="G190" s="303"/>
      <c r="H190" s="162">
        <f>I190/F190</f>
        <v>0.34867503486750351</v>
      </c>
      <c r="I190" s="95">
        <v>500</v>
      </c>
      <c r="J190" s="63">
        <v>0</v>
      </c>
      <c r="K190" s="39">
        <f t="shared" si="22"/>
        <v>500.00000000000006</v>
      </c>
      <c r="L190" s="38">
        <v>3</v>
      </c>
    </row>
    <row r="191" spans="1:24" customFormat="1" x14ac:dyDescent="0.2">
      <c r="A191" s="299"/>
      <c r="B191" s="83" t="s">
        <v>67</v>
      </c>
      <c r="C191" s="84" t="s">
        <v>218</v>
      </c>
      <c r="D191" s="85" t="s">
        <v>772</v>
      </c>
      <c r="E191" s="306"/>
      <c r="F191" s="162">
        <v>1838</v>
      </c>
      <c r="G191" s="303"/>
      <c r="H191" s="162">
        <f>I191/F191</f>
        <v>0.17736670293797607</v>
      </c>
      <c r="I191" s="95">
        <v>326</v>
      </c>
      <c r="J191" s="63">
        <v>326</v>
      </c>
      <c r="K191" s="39">
        <f t="shared" ref="K191:K254" si="25">F191*H191</f>
        <v>326</v>
      </c>
      <c r="L191" s="38">
        <v>3</v>
      </c>
      <c r="M191" s="285"/>
      <c r="N191" s="285"/>
      <c r="O191" s="285"/>
      <c r="P191" s="285"/>
      <c r="Q191" s="285"/>
      <c r="R191" s="285"/>
      <c r="S191" s="285"/>
      <c r="T191" s="285"/>
      <c r="U191" s="285"/>
      <c r="V191" s="285"/>
      <c r="W191" s="285"/>
      <c r="X191" s="285"/>
    </row>
    <row r="192" spans="1:24" customFormat="1" x14ac:dyDescent="0.2">
      <c r="A192" s="299"/>
      <c r="B192" s="83" t="s">
        <v>67</v>
      </c>
      <c r="C192" s="84" t="s">
        <v>218</v>
      </c>
      <c r="D192" s="85" t="s">
        <v>773</v>
      </c>
      <c r="E192" s="306"/>
      <c r="F192" s="162">
        <v>7304</v>
      </c>
      <c r="G192" s="303"/>
      <c r="H192" s="162">
        <f>I192/F192</f>
        <v>0.20536692223439212</v>
      </c>
      <c r="I192" s="95">
        <v>1500</v>
      </c>
      <c r="J192" s="63">
        <f t="shared" ref="J192:J254" si="26">K192-I192</f>
        <v>0</v>
      </c>
      <c r="K192" s="39">
        <f t="shared" si="25"/>
        <v>1500</v>
      </c>
      <c r="L192" s="38">
        <v>7</v>
      </c>
      <c r="M192" s="285"/>
      <c r="N192" s="285"/>
      <c r="O192" s="285"/>
      <c r="P192" s="285"/>
      <c r="Q192" s="285"/>
      <c r="R192" s="285"/>
      <c r="S192" s="285"/>
      <c r="T192" s="285"/>
      <c r="U192" s="285"/>
      <c r="V192" s="285"/>
      <c r="W192" s="285"/>
      <c r="X192" s="285"/>
    </row>
    <row r="193" spans="1:24" customFormat="1" x14ac:dyDescent="0.2">
      <c r="A193" s="299"/>
      <c r="B193" s="83" t="s">
        <v>67</v>
      </c>
      <c r="C193" s="84" t="s">
        <v>218</v>
      </c>
      <c r="D193" s="85" t="s">
        <v>774</v>
      </c>
      <c r="E193" s="307"/>
      <c r="F193" s="162">
        <v>1693</v>
      </c>
      <c r="G193" s="304"/>
      <c r="H193" s="162">
        <f>I193/F193</f>
        <v>0.35026580035440047</v>
      </c>
      <c r="I193" s="95">
        <v>593</v>
      </c>
      <c r="J193" s="63">
        <f t="shared" si="26"/>
        <v>0</v>
      </c>
      <c r="K193" s="39">
        <f t="shared" si="25"/>
        <v>593</v>
      </c>
      <c r="L193" s="38">
        <v>3</v>
      </c>
      <c r="M193" s="285"/>
      <c r="N193" s="285"/>
      <c r="O193" s="285"/>
      <c r="P193" s="285"/>
      <c r="Q193" s="285"/>
      <c r="R193" s="285"/>
      <c r="S193" s="285"/>
      <c r="T193" s="285"/>
      <c r="U193" s="285"/>
      <c r="V193" s="285"/>
      <c r="W193" s="285"/>
      <c r="X193" s="285"/>
    </row>
    <row r="194" spans="1:24" s="82" customFormat="1" x14ac:dyDescent="0.2">
      <c r="A194" s="299"/>
      <c r="B194" s="49" t="s">
        <v>67</v>
      </c>
      <c r="C194" s="58" t="s">
        <v>228</v>
      </c>
      <c r="D194" s="59" t="s">
        <v>762</v>
      </c>
      <c r="E194" s="305">
        <v>9224.7373179999995</v>
      </c>
      <c r="F194" s="162">
        <v>833</v>
      </c>
      <c r="G194" s="302">
        <f>SUM(K194:K197)/E194</f>
        <v>0.24065725922278236</v>
      </c>
      <c r="H194" s="162">
        <f t="shared" si="23"/>
        <v>0.37214885954381755</v>
      </c>
      <c r="I194" s="40">
        <v>0</v>
      </c>
      <c r="J194" s="63">
        <f t="shared" si="26"/>
        <v>310</v>
      </c>
      <c r="K194" s="39">
        <f t="shared" si="25"/>
        <v>310</v>
      </c>
      <c r="L194" s="38">
        <v>0</v>
      </c>
      <c r="M194" s="285"/>
      <c r="N194" s="285"/>
      <c r="O194" s="285"/>
      <c r="P194" s="285"/>
      <c r="Q194" s="285"/>
      <c r="R194" s="285"/>
      <c r="S194" s="285"/>
      <c r="T194" s="285"/>
      <c r="U194" s="285"/>
      <c r="V194" s="285"/>
      <c r="W194" s="285"/>
      <c r="X194" s="285"/>
    </row>
    <row r="195" spans="1:24" customFormat="1" x14ac:dyDescent="0.2">
      <c r="A195" s="299"/>
      <c r="B195" s="78" t="s">
        <v>67</v>
      </c>
      <c r="C195" s="79" t="s">
        <v>228</v>
      </c>
      <c r="D195" s="80" t="s">
        <v>763</v>
      </c>
      <c r="E195" s="306"/>
      <c r="F195" s="163">
        <v>2449</v>
      </c>
      <c r="G195" s="303"/>
      <c r="H195" s="163">
        <f t="shared" si="23"/>
        <v>0.12658227848101267</v>
      </c>
      <c r="I195" s="81">
        <v>0</v>
      </c>
      <c r="J195" s="63">
        <f t="shared" si="26"/>
        <v>310</v>
      </c>
      <c r="K195" s="39">
        <f t="shared" si="25"/>
        <v>310</v>
      </c>
      <c r="L195" s="38">
        <v>0</v>
      </c>
      <c r="M195" s="285"/>
      <c r="N195" s="285"/>
      <c r="O195" s="285"/>
      <c r="P195" s="285"/>
      <c r="Q195" s="285"/>
      <c r="R195" s="285"/>
      <c r="S195" s="285"/>
      <c r="T195" s="285"/>
      <c r="U195" s="285"/>
      <c r="V195" s="285"/>
      <c r="W195" s="285"/>
      <c r="X195" s="285"/>
    </row>
    <row r="196" spans="1:24" customFormat="1" x14ac:dyDescent="0.2">
      <c r="A196" s="299"/>
      <c r="B196" s="86" t="s">
        <v>67</v>
      </c>
      <c r="C196" s="87" t="s">
        <v>228</v>
      </c>
      <c r="D196" s="88" t="s">
        <v>764</v>
      </c>
      <c r="E196" s="306"/>
      <c r="F196" s="163">
        <v>2267</v>
      </c>
      <c r="G196" s="303"/>
      <c r="H196" s="163">
        <f>I196/F196</f>
        <v>0.30877812086457873</v>
      </c>
      <c r="I196" s="96">
        <v>700</v>
      </c>
      <c r="J196" s="63">
        <f t="shared" si="26"/>
        <v>0</v>
      </c>
      <c r="K196" s="39">
        <f t="shared" si="25"/>
        <v>700</v>
      </c>
      <c r="L196" s="38">
        <v>4</v>
      </c>
    </row>
    <row r="197" spans="1:24" customFormat="1" x14ac:dyDescent="0.2">
      <c r="A197" s="299"/>
      <c r="B197" s="86" t="s">
        <v>67</v>
      </c>
      <c r="C197" s="87" t="s">
        <v>228</v>
      </c>
      <c r="D197" s="88" t="s">
        <v>765</v>
      </c>
      <c r="E197" s="307"/>
      <c r="F197" s="163">
        <v>2742</v>
      </c>
      <c r="G197" s="304"/>
      <c r="H197" s="163">
        <f>I197/F197</f>
        <v>0.32822757111597373</v>
      </c>
      <c r="I197" s="96">
        <v>900</v>
      </c>
      <c r="J197" s="63">
        <f t="shared" si="26"/>
        <v>0</v>
      </c>
      <c r="K197" s="39">
        <f t="shared" si="25"/>
        <v>900</v>
      </c>
      <c r="L197" s="38">
        <v>5</v>
      </c>
    </row>
    <row r="198" spans="1:24" customFormat="1" x14ac:dyDescent="0.2">
      <c r="A198" s="299"/>
      <c r="B198" s="49" t="s">
        <v>67</v>
      </c>
      <c r="C198" s="58" t="s">
        <v>229</v>
      </c>
      <c r="D198" s="59" t="s">
        <v>762</v>
      </c>
      <c r="E198" s="305">
        <f>13804.285156+9310.244012</f>
        <v>23114.529168000001</v>
      </c>
      <c r="F198" s="162">
        <v>646</v>
      </c>
      <c r="G198" s="302">
        <f>SUM(K198:K214)/E198</f>
        <v>0.23794557786685347</v>
      </c>
      <c r="H198" s="162">
        <f t="shared" si="23"/>
        <v>0.47987616099071206</v>
      </c>
      <c r="I198" s="40">
        <v>0</v>
      </c>
      <c r="J198" s="63">
        <f t="shared" si="26"/>
        <v>310</v>
      </c>
      <c r="K198" s="39">
        <f t="shared" si="25"/>
        <v>310</v>
      </c>
      <c r="L198" s="38">
        <v>0</v>
      </c>
    </row>
    <row r="199" spans="1:24" customFormat="1" x14ac:dyDescent="0.2">
      <c r="A199" s="299"/>
      <c r="B199" s="49" t="s">
        <v>67</v>
      </c>
      <c r="C199" s="58" t="s">
        <v>229</v>
      </c>
      <c r="D199" s="59" t="s">
        <v>763</v>
      </c>
      <c r="E199" s="306"/>
      <c r="F199" s="162">
        <v>1264</v>
      </c>
      <c r="G199" s="303"/>
      <c r="H199" s="162">
        <f t="shared" si="23"/>
        <v>0.24525316455696203</v>
      </c>
      <c r="I199" s="40">
        <v>0</v>
      </c>
      <c r="J199" s="63">
        <f t="shared" si="26"/>
        <v>310</v>
      </c>
      <c r="K199" s="39">
        <f t="shared" si="25"/>
        <v>310</v>
      </c>
      <c r="L199" s="38">
        <v>0</v>
      </c>
    </row>
    <row r="200" spans="1:24" customFormat="1" x14ac:dyDescent="0.2">
      <c r="A200" s="299"/>
      <c r="B200" s="49" t="s">
        <v>67</v>
      </c>
      <c r="C200" s="58" t="s">
        <v>229</v>
      </c>
      <c r="D200" s="59" t="s">
        <v>764</v>
      </c>
      <c r="E200" s="306"/>
      <c r="F200" s="162">
        <v>1078</v>
      </c>
      <c r="G200" s="303"/>
      <c r="H200" s="162">
        <f t="shared" si="23"/>
        <v>0.28756957328385901</v>
      </c>
      <c r="I200" s="40">
        <v>0</v>
      </c>
      <c r="J200" s="63">
        <f t="shared" si="26"/>
        <v>310</v>
      </c>
      <c r="K200" s="39">
        <f t="shared" si="25"/>
        <v>310</v>
      </c>
      <c r="L200" s="38">
        <v>0</v>
      </c>
    </row>
    <row r="201" spans="1:24" customFormat="1" x14ac:dyDescent="0.2">
      <c r="A201" s="299"/>
      <c r="B201" s="49" t="s">
        <v>67</v>
      </c>
      <c r="C201" s="58" t="s">
        <v>229</v>
      </c>
      <c r="D201" s="59" t="s">
        <v>765</v>
      </c>
      <c r="E201" s="306"/>
      <c r="F201" s="162">
        <v>841</v>
      </c>
      <c r="G201" s="303"/>
      <c r="H201" s="162">
        <f t="shared" si="23"/>
        <v>0.36860879904875149</v>
      </c>
      <c r="I201" s="40">
        <v>0</v>
      </c>
      <c r="J201" s="63">
        <f t="shared" si="26"/>
        <v>310</v>
      </c>
      <c r="K201" s="39">
        <f t="shared" si="25"/>
        <v>310</v>
      </c>
      <c r="L201" s="38">
        <v>0</v>
      </c>
    </row>
    <row r="202" spans="1:24" customFormat="1" x14ac:dyDescent="0.2">
      <c r="A202" s="299"/>
      <c r="B202" s="49" t="s">
        <v>67</v>
      </c>
      <c r="C202" s="58" t="s">
        <v>229</v>
      </c>
      <c r="D202" s="59" t="s">
        <v>766</v>
      </c>
      <c r="E202" s="306"/>
      <c r="F202" s="162">
        <v>910</v>
      </c>
      <c r="G202" s="303"/>
      <c r="H202" s="162">
        <f t="shared" si="23"/>
        <v>0.34065934065934067</v>
      </c>
      <c r="I202" s="40">
        <v>0</v>
      </c>
      <c r="J202" s="63">
        <f t="shared" si="26"/>
        <v>310</v>
      </c>
      <c r="K202" s="39">
        <f t="shared" si="25"/>
        <v>310</v>
      </c>
      <c r="L202" s="38">
        <v>0</v>
      </c>
    </row>
    <row r="203" spans="1:24" customFormat="1" x14ac:dyDescent="0.2">
      <c r="A203" s="299"/>
      <c r="B203" s="49" t="s">
        <v>67</v>
      </c>
      <c r="C203" s="58" t="s">
        <v>229</v>
      </c>
      <c r="D203" s="59" t="s">
        <v>767</v>
      </c>
      <c r="E203" s="306"/>
      <c r="F203" s="162">
        <v>1638</v>
      </c>
      <c r="G203" s="303"/>
      <c r="H203" s="162">
        <f t="shared" si="23"/>
        <v>0.18925518925518925</v>
      </c>
      <c r="I203" s="40">
        <v>0</v>
      </c>
      <c r="J203" s="63">
        <f t="shared" si="26"/>
        <v>310</v>
      </c>
      <c r="K203" s="39">
        <f t="shared" si="25"/>
        <v>310</v>
      </c>
      <c r="L203" s="38">
        <v>0</v>
      </c>
    </row>
    <row r="204" spans="1:24" customFormat="1" x14ac:dyDescent="0.2">
      <c r="A204" s="299"/>
      <c r="B204" s="49" t="s">
        <v>67</v>
      </c>
      <c r="C204" s="58" t="s">
        <v>229</v>
      </c>
      <c r="D204" s="59" t="s">
        <v>768</v>
      </c>
      <c r="E204" s="306"/>
      <c r="F204" s="162">
        <v>858</v>
      </c>
      <c r="G204" s="303"/>
      <c r="H204" s="162">
        <f t="shared" si="23"/>
        <v>0.36130536130536128</v>
      </c>
      <c r="I204" s="40">
        <v>0</v>
      </c>
      <c r="J204" s="63">
        <f t="shared" si="26"/>
        <v>310</v>
      </c>
      <c r="K204" s="39">
        <f t="shared" si="25"/>
        <v>310</v>
      </c>
      <c r="L204" s="38">
        <v>0</v>
      </c>
    </row>
    <row r="205" spans="1:24" customFormat="1" x14ac:dyDescent="0.2">
      <c r="A205" s="299"/>
      <c r="B205" s="49" t="s">
        <v>67</v>
      </c>
      <c r="C205" s="58" t="s">
        <v>229</v>
      </c>
      <c r="D205" s="59" t="s">
        <v>769</v>
      </c>
      <c r="E205" s="306"/>
      <c r="F205" s="162">
        <v>838</v>
      </c>
      <c r="G205" s="303"/>
      <c r="H205" s="162">
        <f t="shared" si="23"/>
        <v>0.36992840095465396</v>
      </c>
      <c r="I205" s="40">
        <v>0</v>
      </c>
      <c r="J205" s="63">
        <f t="shared" si="26"/>
        <v>310</v>
      </c>
      <c r="K205" s="39">
        <f t="shared" si="25"/>
        <v>310</v>
      </c>
      <c r="L205" s="38">
        <v>0</v>
      </c>
    </row>
    <row r="206" spans="1:24" customFormat="1" x14ac:dyDescent="0.2">
      <c r="A206" s="299"/>
      <c r="B206" s="49" t="s">
        <v>67</v>
      </c>
      <c r="C206" s="58" t="s">
        <v>229</v>
      </c>
      <c r="D206" s="59" t="s">
        <v>770</v>
      </c>
      <c r="E206" s="306"/>
      <c r="F206" s="162">
        <v>1037</v>
      </c>
      <c r="G206" s="303"/>
      <c r="H206" s="162">
        <f t="shared" si="23"/>
        <v>0.29893924783027964</v>
      </c>
      <c r="I206" s="40">
        <v>0</v>
      </c>
      <c r="J206" s="63">
        <f t="shared" si="26"/>
        <v>310</v>
      </c>
      <c r="K206" s="39">
        <f t="shared" si="25"/>
        <v>310</v>
      </c>
      <c r="L206" s="38">
        <v>0</v>
      </c>
    </row>
    <row r="207" spans="1:24" customFormat="1" x14ac:dyDescent="0.2">
      <c r="A207" s="299"/>
      <c r="B207" s="49" t="s">
        <v>67</v>
      </c>
      <c r="C207" s="58" t="s">
        <v>229</v>
      </c>
      <c r="D207" s="59" t="s">
        <v>771</v>
      </c>
      <c r="E207" s="306"/>
      <c r="F207" s="162">
        <v>1216</v>
      </c>
      <c r="G207" s="303"/>
      <c r="H207" s="162">
        <f t="shared" si="23"/>
        <v>0.25493421052631576</v>
      </c>
      <c r="I207" s="40">
        <v>0</v>
      </c>
      <c r="J207" s="63">
        <f t="shared" si="26"/>
        <v>309.99999999999994</v>
      </c>
      <c r="K207" s="39">
        <f t="shared" si="25"/>
        <v>309.99999999999994</v>
      </c>
      <c r="L207" s="38">
        <v>0</v>
      </c>
    </row>
    <row r="208" spans="1:24" customFormat="1" x14ac:dyDescent="0.2">
      <c r="A208" s="299"/>
      <c r="B208" s="49" t="s">
        <v>67</v>
      </c>
      <c r="C208" s="58" t="s">
        <v>229</v>
      </c>
      <c r="D208" s="59" t="s">
        <v>772</v>
      </c>
      <c r="E208" s="306"/>
      <c r="F208" s="162">
        <v>1741</v>
      </c>
      <c r="G208" s="303"/>
      <c r="H208" s="162">
        <f t="shared" si="23"/>
        <v>0.17805858701895463</v>
      </c>
      <c r="I208" s="40">
        <v>0</v>
      </c>
      <c r="J208" s="63">
        <f t="shared" si="26"/>
        <v>310</v>
      </c>
      <c r="K208" s="39">
        <f t="shared" si="25"/>
        <v>310</v>
      </c>
      <c r="L208" s="38">
        <v>0</v>
      </c>
    </row>
    <row r="209" spans="1:12" customFormat="1" x14ac:dyDescent="0.2">
      <c r="A209" s="299"/>
      <c r="B209" s="49" t="s">
        <v>67</v>
      </c>
      <c r="C209" s="58" t="s">
        <v>229</v>
      </c>
      <c r="D209" s="59" t="s">
        <v>773</v>
      </c>
      <c r="E209" s="306"/>
      <c r="F209" s="162">
        <v>1870</v>
      </c>
      <c r="G209" s="303"/>
      <c r="H209" s="162">
        <f t="shared" si="23"/>
        <v>0.16577540106951871</v>
      </c>
      <c r="I209" s="40">
        <v>0</v>
      </c>
      <c r="J209" s="63">
        <f t="shared" si="26"/>
        <v>310</v>
      </c>
      <c r="K209" s="39">
        <f t="shared" si="25"/>
        <v>310</v>
      </c>
      <c r="L209" s="38">
        <v>0</v>
      </c>
    </row>
    <row r="210" spans="1:12" customFormat="1" x14ac:dyDescent="0.2">
      <c r="A210" s="299"/>
      <c r="B210" s="83" t="s">
        <v>67</v>
      </c>
      <c r="C210" s="84" t="s">
        <v>229</v>
      </c>
      <c r="D210" s="85" t="s">
        <v>774</v>
      </c>
      <c r="E210" s="306"/>
      <c r="F210" s="162">
        <v>1308</v>
      </c>
      <c r="G210" s="303"/>
      <c r="H210" s="162">
        <f>I210/F210</f>
        <v>0.19113149847094801</v>
      </c>
      <c r="I210" s="40">
        <v>250</v>
      </c>
      <c r="J210" s="63">
        <f t="shared" si="26"/>
        <v>0</v>
      </c>
      <c r="K210" s="39">
        <f t="shared" si="25"/>
        <v>250</v>
      </c>
      <c r="L210" s="38">
        <v>1</v>
      </c>
    </row>
    <row r="211" spans="1:12" customFormat="1" x14ac:dyDescent="0.2">
      <c r="A211" s="299"/>
      <c r="B211" s="83" t="s">
        <v>67</v>
      </c>
      <c r="C211" s="84" t="s">
        <v>229</v>
      </c>
      <c r="D211" s="85" t="s">
        <v>775</v>
      </c>
      <c r="E211" s="306"/>
      <c r="F211" s="162">
        <v>865</v>
      </c>
      <c r="G211" s="303"/>
      <c r="H211" s="162">
        <f>I211/F211</f>
        <v>0.23121387283236994</v>
      </c>
      <c r="I211" s="40">
        <v>200</v>
      </c>
      <c r="J211" s="63">
        <f t="shared" si="26"/>
        <v>0</v>
      </c>
      <c r="K211" s="39">
        <f t="shared" si="25"/>
        <v>200</v>
      </c>
      <c r="L211" s="38">
        <v>1</v>
      </c>
    </row>
    <row r="212" spans="1:12" customFormat="1" x14ac:dyDescent="0.2">
      <c r="A212" s="299"/>
      <c r="B212" s="83" t="s">
        <v>67</v>
      </c>
      <c r="C212" s="84" t="s">
        <v>229</v>
      </c>
      <c r="D212" s="85" t="s">
        <v>776</v>
      </c>
      <c r="E212" s="306"/>
      <c r="F212" s="162">
        <v>3323</v>
      </c>
      <c r="G212" s="303"/>
      <c r="H212" s="162">
        <f>I212/F212</f>
        <v>0.17454107733975324</v>
      </c>
      <c r="I212" s="40">
        <v>580</v>
      </c>
      <c r="J212" s="63">
        <f t="shared" si="26"/>
        <v>0</v>
      </c>
      <c r="K212" s="39">
        <f t="shared" si="25"/>
        <v>580</v>
      </c>
      <c r="L212" s="38">
        <v>3</v>
      </c>
    </row>
    <row r="213" spans="1:12" customFormat="1" x14ac:dyDescent="0.2">
      <c r="A213" s="299"/>
      <c r="B213" s="83" t="s">
        <v>67</v>
      </c>
      <c r="C213" s="84" t="s">
        <v>229</v>
      </c>
      <c r="D213" s="85" t="s">
        <v>777</v>
      </c>
      <c r="E213" s="306"/>
      <c r="F213" s="162">
        <v>388</v>
      </c>
      <c r="G213" s="303"/>
      <c r="H213" s="162">
        <f>I213/F213</f>
        <v>0.38659793814432991</v>
      </c>
      <c r="I213" s="40">
        <v>150</v>
      </c>
      <c r="J213" s="63">
        <f t="shared" si="26"/>
        <v>0</v>
      </c>
      <c r="K213" s="39">
        <f t="shared" si="25"/>
        <v>150</v>
      </c>
      <c r="L213" s="38">
        <v>1</v>
      </c>
    </row>
    <row r="214" spans="1:12" customFormat="1" x14ac:dyDescent="0.2">
      <c r="A214" s="299"/>
      <c r="B214" s="83" t="s">
        <v>67</v>
      </c>
      <c r="C214" s="84" t="s">
        <v>229</v>
      </c>
      <c r="D214" s="85" t="s">
        <v>778</v>
      </c>
      <c r="E214" s="307"/>
      <c r="F214" s="162">
        <v>2907</v>
      </c>
      <c r="G214" s="304"/>
      <c r="H214" s="162">
        <f>I214/F214</f>
        <v>0.20639834881320948</v>
      </c>
      <c r="I214" s="40">
        <v>600</v>
      </c>
      <c r="J214" s="63">
        <f t="shared" si="26"/>
        <v>0</v>
      </c>
      <c r="K214" s="39">
        <f t="shared" si="25"/>
        <v>600</v>
      </c>
      <c r="L214" s="38">
        <v>3</v>
      </c>
    </row>
    <row r="215" spans="1:12" customFormat="1" x14ac:dyDescent="0.2">
      <c r="A215" s="299"/>
      <c r="B215" s="49" t="s">
        <v>68</v>
      </c>
      <c r="C215" s="58" t="s">
        <v>232</v>
      </c>
      <c r="D215" s="59" t="s">
        <v>219</v>
      </c>
      <c r="E215" s="305">
        <v>7672.9606130000002</v>
      </c>
      <c r="F215" s="162">
        <v>542</v>
      </c>
      <c r="G215" s="302">
        <f>SUM(K215:K223)/E215</f>
        <v>0.32060636357654659</v>
      </c>
      <c r="H215" s="162">
        <f t="shared" si="23"/>
        <v>0.5719557195571956</v>
      </c>
      <c r="I215" s="40">
        <v>0</v>
      </c>
      <c r="J215" s="63">
        <f t="shared" si="26"/>
        <v>310</v>
      </c>
      <c r="K215" s="39">
        <f t="shared" si="25"/>
        <v>310</v>
      </c>
      <c r="L215" s="38">
        <v>0</v>
      </c>
    </row>
    <row r="216" spans="1:12" customFormat="1" x14ac:dyDescent="0.2">
      <c r="A216" s="299"/>
      <c r="B216" s="49" t="s">
        <v>68</v>
      </c>
      <c r="C216" s="58" t="s">
        <v>232</v>
      </c>
      <c r="D216" s="59" t="s">
        <v>220</v>
      </c>
      <c r="E216" s="306"/>
      <c r="F216" s="162">
        <v>752</v>
      </c>
      <c r="G216" s="303"/>
      <c r="H216" s="162">
        <f t="shared" si="23"/>
        <v>0.41223404255319152</v>
      </c>
      <c r="I216" s="40">
        <v>0</v>
      </c>
      <c r="J216" s="63">
        <f t="shared" si="26"/>
        <v>310</v>
      </c>
      <c r="K216" s="39">
        <f t="shared" si="25"/>
        <v>310</v>
      </c>
      <c r="L216" s="38">
        <v>0</v>
      </c>
    </row>
    <row r="217" spans="1:12" customFormat="1" x14ac:dyDescent="0.2">
      <c r="A217" s="299"/>
      <c r="B217" s="49" t="s">
        <v>68</v>
      </c>
      <c r="C217" s="58" t="s">
        <v>232</v>
      </c>
      <c r="D217" s="59" t="s">
        <v>221</v>
      </c>
      <c r="E217" s="306"/>
      <c r="F217" s="162">
        <v>717</v>
      </c>
      <c r="G217" s="303"/>
      <c r="H217" s="162">
        <f t="shared" si="23"/>
        <v>0.43235704323570434</v>
      </c>
      <c r="I217" s="40">
        <v>0</v>
      </c>
      <c r="J217" s="63">
        <f t="shared" si="26"/>
        <v>310</v>
      </c>
      <c r="K217" s="39">
        <f t="shared" si="25"/>
        <v>310</v>
      </c>
      <c r="L217" s="38">
        <v>0</v>
      </c>
    </row>
    <row r="218" spans="1:12" customFormat="1" x14ac:dyDescent="0.2">
      <c r="A218" s="299"/>
      <c r="B218" s="49" t="s">
        <v>68</v>
      </c>
      <c r="C218" s="58" t="s">
        <v>232</v>
      </c>
      <c r="D218" s="59" t="s">
        <v>222</v>
      </c>
      <c r="E218" s="306"/>
      <c r="F218" s="162">
        <v>1007</v>
      </c>
      <c r="G218" s="303"/>
      <c r="H218" s="162">
        <f t="shared" si="23"/>
        <v>0.30784508440913605</v>
      </c>
      <c r="I218" s="40">
        <v>0</v>
      </c>
      <c r="J218" s="63">
        <f t="shared" si="26"/>
        <v>310</v>
      </c>
      <c r="K218" s="39">
        <f t="shared" si="25"/>
        <v>310</v>
      </c>
      <c r="L218" s="38">
        <v>0</v>
      </c>
    </row>
    <row r="219" spans="1:12" customFormat="1" x14ac:dyDescent="0.2">
      <c r="A219" s="299"/>
      <c r="B219" s="49" t="s">
        <v>68</v>
      </c>
      <c r="C219" s="58" t="s">
        <v>232</v>
      </c>
      <c r="D219" s="59" t="s">
        <v>223</v>
      </c>
      <c r="E219" s="306"/>
      <c r="F219" s="162">
        <v>1014</v>
      </c>
      <c r="G219" s="303"/>
      <c r="H219" s="162">
        <f t="shared" si="23"/>
        <v>0.3057199211045365</v>
      </c>
      <c r="I219" s="40">
        <v>0</v>
      </c>
      <c r="J219" s="63">
        <f t="shared" si="26"/>
        <v>310</v>
      </c>
      <c r="K219" s="39">
        <f t="shared" si="25"/>
        <v>310</v>
      </c>
      <c r="L219" s="38">
        <v>0</v>
      </c>
    </row>
    <row r="220" spans="1:12" customFormat="1" x14ac:dyDescent="0.2">
      <c r="A220" s="299"/>
      <c r="B220" s="49" t="s">
        <v>68</v>
      </c>
      <c r="C220" s="58" t="s">
        <v>232</v>
      </c>
      <c r="D220" s="59" t="s">
        <v>224</v>
      </c>
      <c r="E220" s="306"/>
      <c r="F220" s="162">
        <v>1014</v>
      </c>
      <c r="G220" s="303"/>
      <c r="H220" s="162">
        <f t="shared" si="23"/>
        <v>0.3057199211045365</v>
      </c>
      <c r="I220" s="40">
        <v>0</v>
      </c>
      <c r="J220" s="63">
        <f t="shared" si="26"/>
        <v>310</v>
      </c>
      <c r="K220" s="39">
        <f t="shared" si="25"/>
        <v>310</v>
      </c>
      <c r="L220" s="38">
        <v>0</v>
      </c>
    </row>
    <row r="221" spans="1:12" customFormat="1" x14ac:dyDescent="0.2">
      <c r="A221" s="299"/>
      <c r="B221" s="83" t="s">
        <v>68</v>
      </c>
      <c r="C221" s="84" t="s">
        <v>232</v>
      </c>
      <c r="D221" s="85" t="s">
        <v>225</v>
      </c>
      <c r="E221" s="306"/>
      <c r="F221" s="162">
        <v>932</v>
      </c>
      <c r="G221" s="303"/>
      <c r="H221" s="162">
        <f>I221/F221</f>
        <v>0.26824034334763946</v>
      </c>
      <c r="I221" s="40">
        <v>250</v>
      </c>
      <c r="J221" s="63">
        <f t="shared" si="26"/>
        <v>0</v>
      </c>
      <c r="K221" s="39">
        <f t="shared" si="25"/>
        <v>249.99999999999997</v>
      </c>
      <c r="L221" s="38">
        <v>1</v>
      </c>
    </row>
    <row r="222" spans="1:12" customFormat="1" x14ac:dyDescent="0.2">
      <c r="A222" s="299"/>
      <c r="B222" s="83" t="s">
        <v>68</v>
      </c>
      <c r="C222" s="84" t="s">
        <v>232</v>
      </c>
      <c r="D222" s="85" t="s">
        <v>226</v>
      </c>
      <c r="E222" s="306"/>
      <c r="F222" s="162">
        <v>299</v>
      </c>
      <c r="G222" s="303"/>
      <c r="H222" s="162">
        <f>I222/F222</f>
        <v>0.50167224080267558</v>
      </c>
      <c r="I222" s="40">
        <v>150</v>
      </c>
      <c r="J222" s="63">
        <f t="shared" si="26"/>
        <v>0</v>
      </c>
      <c r="K222" s="39">
        <f t="shared" si="25"/>
        <v>150</v>
      </c>
      <c r="L222" s="38">
        <v>1</v>
      </c>
    </row>
    <row r="223" spans="1:12" customFormat="1" x14ac:dyDescent="0.2">
      <c r="A223" s="299"/>
      <c r="B223" s="83" t="s">
        <v>68</v>
      </c>
      <c r="C223" s="84" t="s">
        <v>232</v>
      </c>
      <c r="D223" s="85" t="s">
        <v>227</v>
      </c>
      <c r="E223" s="307"/>
      <c r="F223" s="162">
        <v>442</v>
      </c>
      <c r="G223" s="304"/>
      <c r="H223" s="162">
        <f>I223/F223</f>
        <v>0.45248868778280543</v>
      </c>
      <c r="I223" s="40">
        <v>200</v>
      </c>
      <c r="J223" s="63">
        <f t="shared" si="26"/>
        <v>0</v>
      </c>
      <c r="K223" s="39">
        <f t="shared" si="25"/>
        <v>200</v>
      </c>
      <c r="L223" s="38">
        <v>1</v>
      </c>
    </row>
    <row r="224" spans="1:12" customFormat="1" x14ac:dyDescent="0.2">
      <c r="A224" s="299"/>
      <c r="B224" s="49" t="s">
        <v>67</v>
      </c>
      <c r="C224" s="58" t="s">
        <v>233</v>
      </c>
      <c r="D224" s="59" t="s">
        <v>219</v>
      </c>
      <c r="E224" s="305">
        <v>12559.120672999999</v>
      </c>
      <c r="F224" s="164">
        <v>568</v>
      </c>
      <c r="G224" s="333">
        <f>SUM(K224:K231)/E224</f>
        <v>0.27278979868115488</v>
      </c>
      <c r="H224" s="164">
        <f t="shared" si="23"/>
        <v>0.54577464788732399</v>
      </c>
      <c r="I224" s="40">
        <v>0</v>
      </c>
      <c r="J224" s="63">
        <f t="shared" si="26"/>
        <v>310</v>
      </c>
      <c r="K224" s="39">
        <f t="shared" si="25"/>
        <v>310</v>
      </c>
      <c r="L224" s="38">
        <v>0</v>
      </c>
    </row>
    <row r="225" spans="1:12" customFormat="1" x14ac:dyDescent="0.2">
      <c r="A225" s="299"/>
      <c r="B225" s="49" t="s">
        <v>67</v>
      </c>
      <c r="C225" s="58" t="s">
        <v>233</v>
      </c>
      <c r="D225" s="59" t="s">
        <v>220</v>
      </c>
      <c r="E225" s="306"/>
      <c r="F225" s="164">
        <v>954</v>
      </c>
      <c r="G225" s="334"/>
      <c r="H225" s="164">
        <f t="shared" si="23"/>
        <v>0.3249475890985325</v>
      </c>
      <c r="I225" s="40">
        <v>0</v>
      </c>
      <c r="J225" s="63">
        <f t="shared" si="26"/>
        <v>310</v>
      </c>
      <c r="K225" s="39">
        <f t="shared" si="25"/>
        <v>310</v>
      </c>
      <c r="L225" s="38">
        <v>0</v>
      </c>
    </row>
    <row r="226" spans="1:12" customFormat="1" x14ac:dyDescent="0.2">
      <c r="A226" s="299"/>
      <c r="B226" s="49" t="s">
        <v>67</v>
      </c>
      <c r="C226" s="58" t="s">
        <v>233</v>
      </c>
      <c r="D226" s="59" t="s">
        <v>221</v>
      </c>
      <c r="E226" s="306"/>
      <c r="F226" s="164">
        <v>715</v>
      </c>
      <c r="G226" s="334"/>
      <c r="H226" s="164">
        <f t="shared" si="23"/>
        <v>0.43356643356643354</v>
      </c>
      <c r="I226" s="40">
        <v>0</v>
      </c>
      <c r="J226" s="63">
        <f t="shared" si="26"/>
        <v>310</v>
      </c>
      <c r="K226" s="39">
        <f t="shared" si="25"/>
        <v>310</v>
      </c>
      <c r="L226" s="38">
        <v>0</v>
      </c>
    </row>
    <row r="227" spans="1:12" customFormat="1" x14ac:dyDescent="0.2">
      <c r="A227" s="299"/>
      <c r="B227" s="49" t="s">
        <v>67</v>
      </c>
      <c r="C227" s="58" t="s">
        <v>233</v>
      </c>
      <c r="D227" s="59" t="s">
        <v>222</v>
      </c>
      <c r="E227" s="306"/>
      <c r="F227" s="164">
        <v>844</v>
      </c>
      <c r="G227" s="334"/>
      <c r="H227" s="164">
        <f t="shared" si="23"/>
        <v>0.36729857819905215</v>
      </c>
      <c r="I227" s="40">
        <v>0</v>
      </c>
      <c r="J227" s="63">
        <f t="shared" si="26"/>
        <v>310</v>
      </c>
      <c r="K227" s="39">
        <f t="shared" si="25"/>
        <v>310</v>
      </c>
      <c r="L227" s="38">
        <v>0</v>
      </c>
    </row>
    <row r="228" spans="1:12" customFormat="1" x14ac:dyDescent="0.2">
      <c r="A228" s="299"/>
      <c r="B228" s="49" t="s">
        <v>67</v>
      </c>
      <c r="C228" s="58" t="s">
        <v>233</v>
      </c>
      <c r="D228" s="59" t="s">
        <v>223</v>
      </c>
      <c r="E228" s="306"/>
      <c r="F228" s="164">
        <v>434</v>
      </c>
      <c r="G228" s="334"/>
      <c r="H228" s="164">
        <f t="shared" si="23"/>
        <v>0.7142857142857143</v>
      </c>
      <c r="I228" s="40">
        <v>0</v>
      </c>
      <c r="J228" s="63">
        <f t="shared" si="26"/>
        <v>310</v>
      </c>
      <c r="K228" s="39">
        <f t="shared" si="25"/>
        <v>310</v>
      </c>
      <c r="L228" s="38">
        <v>0</v>
      </c>
    </row>
    <row r="229" spans="1:12" customFormat="1" x14ac:dyDescent="0.2">
      <c r="A229" s="299"/>
      <c r="B229" s="83" t="s">
        <v>67</v>
      </c>
      <c r="C229" s="84" t="s">
        <v>233</v>
      </c>
      <c r="D229" s="85" t="s">
        <v>224</v>
      </c>
      <c r="E229" s="306"/>
      <c r="F229" s="164">
        <v>4763</v>
      </c>
      <c r="G229" s="334"/>
      <c r="H229" s="164">
        <f>I229/F229</f>
        <v>0.19441528448456855</v>
      </c>
      <c r="I229" s="40">
        <v>926</v>
      </c>
      <c r="J229" s="63">
        <f t="shared" si="26"/>
        <v>0</v>
      </c>
      <c r="K229" s="39">
        <f t="shared" si="25"/>
        <v>926</v>
      </c>
      <c r="L229" s="38">
        <v>5</v>
      </c>
    </row>
    <row r="230" spans="1:12" customFormat="1" x14ac:dyDescent="0.2">
      <c r="A230" s="299"/>
      <c r="B230" s="83" t="s">
        <v>67</v>
      </c>
      <c r="C230" s="84" t="s">
        <v>233</v>
      </c>
      <c r="D230" s="85" t="s">
        <v>225</v>
      </c>
      <c r="E230" s="306"/>
      <c r="F230" s="164">
        <v>1228</v>
      </c>
      <c r="G230" s="334"/>
      <c r="H230" s="164">
        <f>I230/F230</f>
        <v>0.32573289902280128</v>
      </c>
      <c r="I230" s="40">
        <v>400</v>
      </c>
      <c r="J230" s="63">
        <f t="shared" si="26"/>
        <v>0</v>
      </c>
      <c r="K230" s="39">
        <f t="shared" si="25"/>
        <v>400</v>
      </c>
      <c r="L230" s="38">
        <v>2</v>
      </c>
    </row>
    <row r="231" spans="1:12" customFormat="1" x14ac:dyDescent="0.2">
      <c r="A231" s="299"/>
      <c r="B231" s="83" t="s">
        <v>67</v>
      </c>
      <c r="C231" s="84" t="s">
        <v>233</v>
      </c>
      <c r="D231" s="85" t="s">
        <v>226</v>
      </c>
      <c r="E231" s="307"/>
      <c r="F231" s="164">
        <v>1775</v>
      </c>
      <c r="G231" s="335"/>
      <c r="H231" s="164">
        <f>I231/F231</f>
        <v>0.30985915492957744</v>
      </c>
      <c r="I231" s="40">
        <v>550</v>
      </c>
      <c r="J231" s="63">
        <f t="shared" si="26"/>
        <v>0</v>
      </c>
      <c r="K231" s="39">
        <f t="shared" si="25"/>
        <v>550</v>
      </c>
      <c r="L231" s="38">
        <v>3</v>
      </c>
    </row>
    <row r="232" spans="1:12" customFormat="1" x14ac:dyDescent="0.2">
      <c r="A232" s="299"/>
      <c r="B232" s="49" t="s">
        <v>67</v>
      </c>
      <c r="C232" s="58" t="s">
        <v>234</v>
      </c>
      <c r="D232" s="59" t="s">
        <v>219</v>
      </c>
      <c r="E232" s="305">
        <v>15377.510165</v>
      </c>
      <c r="F232" s="162">
        <v>1204</v>
      </c>
      <c r="G232" s="302">
        <f>SUM(K232:K242)/E232</f>
        <v>0.27592243181586606</v>
      </c>
      <c r="H232" s="162">
        <f t="shared" si="23"/>
        <v>0.25747508305647843</v>
      </c>
      <c r="I232" s="40">
        <v>0</v>
      </c>
      <c r="J232" s="63">
        <f t="shared" si="26"/>
        <v>310</v>
      </c>
      <c r="K232" s="39">
        <f t="shared" si="25"/>
        <v>310</v>
      </c>
      <c r="L232" s="38">
        <v>0</v>
      </c>
    </row>
    <row r="233" spans="1:12" customFormat="1" x14ac:dyDescent="0.2">
      <c r="A233" s="299"/>
      <c r="B233" s="49" t="s">
        <v>67</v>
      </c>
      <c r="C233" s="58" t="s">
        <v>234</v>
      </c>
      <c r="D233" s="59" t="s">
        <v>220</v>
      </c>
      <c r="E233" s="306"/>
      <c r="F233" s="162">
        <v>844</v>
      </c>
      <c r="G233" s="303"/>
      <c r="H233" s="162">
        <f t="shared" si="23"/>
        <v>0.36729857819905215</v>
      </c>
      <c r="I233" s="40">
        <v>0</v>
      </c>
      <c r="J233" s="63">
        <f t="shared" si="26"/>
        <v>310</v>
      </c>
      <c r="K233" s="39">
        <f t="shared" si="25"/>
        <v>310</v>
      </c>
      <c r="L233" s="38">
        <v>0</v>
      </c>
    </row>
    <row r="234" spans="1:12" customFormat="1" x14ac:dyDescent="0.2">
      <c r="A234" s="299"/>
      <c r="B234" s="49" t="s">
        <v>67</v>
      </c>
      <c r="C234" s="58" t="s">
        <v>234</v>
      </c>
      <c r="D234" s="59" t="s">
        <v>221</v>
      </c>
      <c r="E234" s="306"/>
      <c r="F234" s="162">
        <v>959</v>
      </c>
      <c r="G234" s="303"/>
      <c r="H234" s="162">
        <f t="shared" si="23"/>
        <v>0.3232533889468196</v>
      </c>
      <c r="I234" s="40">
        <v>0</v>
      </c>
      <c r="J234" s="63">
        <f t="shared" si="26"/>
        <v>310</v>
      </c>
      <c r="K234" s="39">
        <f t="shared" si="25"/>
        <v>310</v>
      </c>
      <c r="L234" s="38">
        <v>0</v>
      </c>
    </row>
    <row r="235" spans="1:12" customFormat="1" x14ac:dyDescent="0.2">
      <c r="A235" s="299"/>
      <c r="B235" s="49" t="s">
        <v>67</v>
      </c>
      <c r="C235" s="58" t="s">
        <v>234</v>
      </c>
      <c r="D235" s="59" t="s">
        <v>222</v>
      </c>
      <c r="E235" s="306"/>
      <c r="F235" s="162">
        <v>1092</v>
      </c>
      <c r="G235" s="303"/>
      <c r="H235" s="162">
        <f t="shared" si="23"/>
        <v>0.28388278388278387</v>
      </c>
      <c r="I235" s="40">
        <v>0</v>
      </c>
      <c r="J235" s="63">
        <f t="shared" si="26"/>
        <v>310</v>
      </c>
      <c r="K235" s="39">
        <f t="shared" si="25"/>
        <v>310</v>
      </c>
      <c r="L235" s="38">
        <v>0</v>
      </c>
    </row>
    <row r="236" spans="1:12" customFormat="1" x14ac:dyDescent="0.2">
      <c r="A236" s="299"/>
      <c r="B236" s="49" t="s">
        <v>67</v>
      </c>
      <c r="C236" s="58" t="s">
        <v>234</v>
      </c>
      <c r="D236" s="59" t="s">
        <v>223</v>
      </c>
      <c r="E236" s="306"/>
      <c r="F236" s="162">
        <v>1016</v>
      </c>
      <c r="G236" s="303"/>
      <c r="H236" s="162">
        <f t="shared" si="23"/>
        <v>0.30511811023622049</v>
      </c>
      <c r="I236" s="40">
        <v>0</v>
      </c>
      <c r="J236" s="63">
        <f t="shared" si="26"/>
        <v>310</v>
      </c>
      <c r="K236" s="39">
        <f t="shared" si="25"/>
        <v>310</v>
      </c>
      <c r="L236" s="38">
        <v>0</v>
      </c>
    </row>
    <row r="237" spans="1:12" customFormat="1" x14ac:dyDescent="0.2">
      <c r="A237" s="299"/>
      <c r="B237" s="49" t="s">
        <v>67</v>
      </c>
      <c r="C237" s="58" t="s">
        <v>234</v>
      </c>
      <c r="D237" s="59" t="s">
        <v>224</v>
      </c>
      <c r="E237" s="306"/>
      <c r="F237" s="162">
        <v>1080</v>
      </c>
      <c r="G237" s="303"/>
      <c r="H237" s="162">
        <f t="shared" si="23"/>
        <v>0.28703703703703703</v>
      </c>
      <c r="I237" s="40">
        <v>0</v>
      </c>
      <c r="J237" s="63">
        <f t="shared" si="26"/>
        <v>310</v>
      </c>
      <c r="K237" s="39">
        <f t="shared" si="25"/>
        <v>310</v>
      </c>
      <c r="L237" s="38">
        <v>0</v>
      </c>
    </row>
    <row r="238" spans="1:12" customFormat="1" x14ac:dyDescent="0.2">
      <c r="A238" s="299"/>
      <c r="B238" s="49" t="s">
        <v>67</v>
      </c>
      <c r="C238" s="58" t="s">
        <v>234</v>
      </c>
      <c r="D238" s="59" t="s">
        <v>225</v>
      </c>
      <c r="E238" s="306"/>
      <c r="F238" s="162">
        <v>1297</v>
      </c>
      <c r="G238" s="303"/>
      <c r="H238" s="162">
        <f t="shared" si="23"/>
        <v>0.2390131071703932</v>
      </c>
      <c r="I238" s="40">
        <v>0</v>
      </c>
      <c r="J238" s="63">
        <f t="shared" si="26"/>
        <v>310</v>
      </c>
      <c r="K238" s="39">
        <f t="shared" si="25"/>
        <v>310</v>
      </c>
      <c r="L238" s="38">
        <v>0</v>
      </c>
    </row>
    <row r="239" spans="1:12" customFormat="1" x14ac:dyDescent="0.2">
      <c r="A239" s="299"/>
      <c r="B239" s="49" t="s">
        <v>67</v>
      </c>
      <c r="C239" s="58" t="s">
        <v>234</v>
      </c>
      <c r="D239" s="59" t="s">
        <v>226</v>
      </c>
      <c r="E239" s="306"/>
      <c r="F239" s="162">
        <v>1335</v>
      </c>
      <c r="G239" s="303"/>
      <c r="H239" s="162">
        <f t="shared" si="23"/>
        <v>0.23220973782771537</v>
      </c>
      <c r="I239" s="40">
        <v>0</v>
      </c>
      <c r="J239" s="63">
        <f t="shared" si="26"/>
        <v>310</v>
      </c>
      <c r="K239" s="39">
        <f t="shared" si="25"/>
        <v>310</v>
      </c>
      <c r="L239" s="38">
        <v>0</v>
      </c>
    </row>
    <row r="240" spans="1:12" customFormat="1" x14ac:dyDescent="0.2">
      <c r="A240" s="299"/>
      <c r="B240" s="49" t="s">
        <v>67</v>
      </c>
      <c r="C240" s="58" t="s">
        <v>234</v>
      </c>
      <c r="D240" s="59" t="s">
        <v>227</v>
      </c>
      <c r="E240" s="306"/>
      <c r="F240" s="162">
        <v>1272</v>
      </c>
      <c r="G240" s="303"/>
      <c r="H240" s="162">
        <f t="shared" si="23"/>
        <v>0.24371069182389937</v>
      </c>
      <c r="I240" s="40">
        <v>0</v>
      </c>
      <c r="J240" s="63">
        <f t="shared" si="26"/>
        <v>310</v>
      </c>
      <c r="K240" s="39">
        <f t="shared" si="25"/>
        <v>310</v>
      </c>
      <c r="L240" s="38">
        <v>0</v>
      </c>
    </row>
    <row r="241" spans="1:12" customFormat="1" x14ac:dyDescent="0.2">
      <c r="A241" s="299"/>
      <c r="B241" s="83" t="s">
        <v>67</v>
      </c>
      <c r="C241" s="84" t="s">
        <v>234</v>
      </c>
      <c r="D241" s="85" t="s">
        <v>230</v>
      </c>
      <c r="E241" s="306"/>
      <c r="F241" s="162">
        <v>773</v>
      </c>
      <c r="G241" s="303"/>
      <c r="H241" s="162">
        <f>I241/F241</f>
        <v>0.32341526520051744</v>
      </c>
      <c r="I241" s="95">
        <v>250</v>
      </c>
      <c r="J241" s="63">
        <f t="shared" si="26"/>
        <v>0</v>
      </c>
      <c r="K241" s="39">
        <f t="shared" si="25"/>
        <v>249.99999999999997</v>
      </c>
      <c r="L241" s="38">
        <v>1</v>
      </c>
    </row>
    <row r="242" spans="1:12" customFormat="1" x14ac:dyDescent="0.2">
      <c r="A242" s="299"/>
      <c r="B242" s="83" t="s">
        <v>67</v>
      </c>
      <c r="C242" s="84" t="s">
        <v>234</v>
      </c>
      <c r="D242" s="85" t="s">
        <v>231</v>
      </c>
      <c r="E242" s="307"/>
      <c r="F242" s="162">
        <v>4484</v>
      </c>
      <c r="G242" s="304"/>
      <c r="H242" s="162">
        <f>I242/F242</f>
        <v>0.26828724353256023</v>
      </c>
      <c r="I242" s="95">
        <v>1203</v>
      </c>
      <c r="J242" s="63">
        <f t="shared" si="26"/>
        <v>0</v>
      </c>
      <c r="K242" s="39">
        <f t="shared" si="25"/>
        <v>1203</v>
      </c>
      <c r="L242" s="38">
        <v>7</v>
      </c>
    </row>
    <row r="243" spans="1:12" customFormat="1" x14ac:dyDescent="0.2">
      <c r="A243" s="299"/>
      <c r="B243" s="49" t="s">
        <v>68</v>
      </c>
      <c r="C243" s="58" t="s">
        <v>235</v>
      </c>
      <c r="D243" s="59" t="s">
        <v>219</v>
      </c>
      <c r="E243" s="305">
        <v>12554.970375999999</v>
      </c>
      <c r="F243" s="162">
        <v>765</v>
      </c>
      <c r="G243" s="302">
        <f>SUM(K243:K249)/E243</f>
        <v>0.39346966596140059</v>
      </c>
      <c r="H243" s="162">
        <f t="shared" si="23"/>
        <v>0.40522875816993464</v>
      </c>
      <c r="I243" s="40">
        <v>0</v>
      </c>
      <c r="J243" s="63">
        <f t="shared" si="26"/>
        <v>310</v>
      </c>
      <c r="K243" s="39">
        <f t="shared" si="25"/>
        <v>310</v>
      </c>
      <c r="L243" s="38">
        <v>0</v>
      </c>
    </row>
    <row r="244" spans="1:12" customFormat="1" x14ac:dyDescent="0.2">
      <c r="A244" s="299"/>
      <c r="B244" s="49" t="s">
        <v>68</v>
      </c>
      <c r="C244" s="58" t="s">
        <v>235</v>
      </c>
      <c r="D244" s="59" t="s">
        <v>220</v>
      </c>
      <c r="E244" s="306"/>
      <c r="F244" s="162">
        <v>1148</v>
      </c>
      <c r="G244" s="303"/>
      <c r="H244" s="162">
        <f t="shared" si="23"/>
        <v>0.27003484320557491</v>
      </c>
      <c r="I244" s="40">
        <v>0</v>
      </c>
      <c r="J244" s="63">
        <f t="shared" si="26"/>
        <v>310</v>
      </c>
      <c r="K244" s="39">
        <f t="shared" si="25"/>
        <v>310</v>
      </c>
      <c r="L244" s="38">
        <v>0</v>
      </c>
    </row>
    <row r="245" spans="1:12" customFormat="1" x14ac:dyDescent="0.2">
      <c r="A245" s="299"/>
      <c r="B245" s="49" t="s">
        <v>68</v>
      </c>
      <c r="C245" s="58" t="s">
        <v>235</v>
      </c>
      <c r="D245" s="59" t="s">
        <v>221</v>
      </c>
      <c r="E245" s="306"/>
      <c r="F245" s="162">
        <v>1962</v>
      </c>
      <c r="G245" s="303"/>
      <c r="H245" s="162">
        <f t="shared" si="23"/>
        <v>0.1580020387359837</v>
      </c>
      <c r="I245" s="40">
        <v>0</v>
      </c>
      <c r="J245" s="63">
        <f t="shared" si="26"/>
        <v>310</v>
      </c>
      <c r="K245" s="39">
        <f t="shared" si="25"/>
        <v>310</v>
      </c>
      <c r="L245" s="38">
        <v>0</v>
      </c>
    </row>
    <row r="246" spans="1:12" customFormat="1" x14ac:dyDescent="0.2">
      <c r="A246" s="299"/>
      <c r="B246" s="49" t="s">
        <v>68</v>
      </c>
      <c r="C246" s="58" t="s">
        <v>235</v>
      </c>
      <c r="D246" s="59" t="s">
        <v>222</v>
      </c>
      <c r="E246" s="306"/>
      <c r="F246" s="162">
        <v>1116</v>
      </c>
      <c r="G246" s="303"/>
      <c r="H246" s="162">
        <f t="shared" si="23"/>
        <v>0.27777777777777779</v>
      </c>
      <c r="I246" s="40">
        <v>0</v>
      </c>
      <c r="J246" s="63">
        <f t="shared" si="26"/>
        <v>310</v>
      </c>
      <c r="K246" s="39">
        <f t="shared" si="25"/>
        <v>310</v>
      </c>
      <c r="L246" s="38">
        <v>0</v>
      </c>
    </row>
    <row r="247" spans="1:12" customFormat="1" x14ac:dyDescent="0.2">
      <c r="A247" s="299"/>
      <c r="B247" s="83" t="s">
        <v>68</v>
      </c>
      <c r="C247" s="84" t="s">
        <v>235</v>
      </c>
      <c r="D247" s="85" t="s">
        <v>223</v>
      </c>
      <c r="E247" s="306"/>
      <c r="F247" s="162">
        <v>4451</v>
      </c>
      <c r="G247" s="303"/>
      <c r="H247" s="162">
        <f>I247/F247</f>
        <v>0.50550438103796902</v>
      </c>
      <c r="I247" s="95">
        <v>2250</v>
      </c>
      <c r="J247" s="63">
        <f t="shared" si="26"/>
        <v>0</v>
      </c>
      <c r="K247" s="39">
        <f t="shared" si="25"/>
        <v>2250</v>
      </c>
      <c r="L247" s="38">
        <v>12</v>
      </c>
    </row>
    <row r="248" spans="1:12" customFormat="1" x14ac:dyDescent="0.2">
      <c r="A248" s="299"/>
      <c r="B248" s="83" t="s">
        <v>68</v>
      </c>
      <c r="C248" s="84" t="s">
        <v>235</v>
      </c>
      <c r="D248" s="85" t="s">
        <v>224</v>
      </c>
      <c r="E248" s="306"/>
      <c r="F248" s="162">
        <v>1495</v>
      </c>
      <c r="G248" s="303"/>
      <c r="H248" s="162">
        <f>I248/F248</f>
        <v>0.53511705685618727</v>
      </c>
      <c r="I248" s="95">
        <v>800</v>
      </c>
      <c r="J248" s="63">
        <f t="shared" si="26"/>
        <v>0</v>
      </c>
      <c r="K248" s="39">
        <f t="shared" si="25"/>
        <v>800</v>
      </c>
      <c r="L248" s="38">
        <v>4</v>
      </c>
    </row>
    <row r="249" spans="1:12" customFormat="1" x14ac:dyDescent="0.2">
      <c r="A249" s="299"/>
      <c r="B249" s="83" t="s">
        <v>68</v>
      </c>
      <c r="C249" s="84" t="s">
        <v>235</v>
      </c>
      <c r="D249" s="85" t="s">
        <v>225</v>
      </c>
      <c r="E249" s="307"/>
      <c r="F249" s="162">
        <v>1371</v>
      </c>
      <c r="G249" s="304"/>
      <c r="H249" s="162">
        <f>I249/F249</f>
        <v>0.47410649161196206</v>
      </c>
      <c r="I249" s="95">
        <v>650</v>
      </c>
      <c r="J249" s="63">
        <f t="shared" si="26"/>
        <v>0</v>
      </c>
      <c r="K249" s="39">
        <f t="shared" si="25"/>
        <v>650</v>
      </c>
      <c r="L249" s="38">
        <v>4</v>
      </c>
    </row>
    <row r="250" spans="1:12" customFormat="1" x14ac:dyDescent="0.2">
      <c r="A250" s="299"/>
      <c r="B250" s="49" t="s">
        <v>68</v>
      </c>
      <c r="C250" s="58" t="s">
        <v>236</v>
      </c>
      <c r="D250" s="59" t="s">
        <v>237</v>
      </c>
      <c r="E250" s="305">
        <v>21682.571102999998</v>
      </c>
      <c r="F250" s="162">
        <v>1252</v>
      </c>
      <c r="G250" s="302">
        <f>SUM(K250:K261)/E250</f>
        <v>0.37772273228550984</v>
      </c>
      <c r="H250" s="162">
        <f t="shared" si="23"/>
        <v>0.24760383386581469</v>
      </c>
      <c r="I250" s="40">
        <v>0</v>
      </c>
      <c r="J250" s="63">
        <f t="shared" si="26"/>
        <v>310</v>
      </c>
      <c r="K250" s="39">
        <f t="shared" si="25"/>
        <v>310</v>
      </c>
      <c r="L250" s="38">
        <v>0</v>
      </c>
    </row>
    <row r="251" spans="1:12" customFormat="1" x14ac:dyDescent="0.2">
      <c r="A251" s="299"/>
      <c r="B251" s="49" t="s">
        <v>68</v>
      </c>
      <c r="C251" s="58" t="s">
        <v>236</v>
      </c>
      <c r="D251" s="59" t="s">
        <v>238</v>
      </c>
      <c r="E251" s="306"/>
      <c r="F251" s="162">
        <v>1028</v>
      </c>
      <c r="G251" s="303"/>
      <c r="H251" s="162">
        <f t="shared" si="23"/>
        <v>0.30155642023346302</v>
      </c>
      <c r="I251" s="40">
        <v>0</v>
      </c>
      <c r="J251" s="63">
        <f t="shared" si="26"/>
        <v>310</v>
      </c>
      <c r="K251" s="39">
        <f t="shared" si="25"/>
        <v>310</v>
      </c>
      <c r="L251" s="38">
        <v>0</v>
      </c>
    </row>
    <row r="252" spans="1:12" customFormat="1" x14ac:dyDescent="0.2">
      <c r="A252" s="299"/>
      <c r="B252" s="49" t="s">
        <v>68</v>
      </c>
      <c r="C252" s="58" t="s">
        <v>236</v>
      </c>
      <c r="D252" s="59" t="s">
        <v>239</v>
      </c>
      <c r="E252" s="306"/>
      <c r="F252" s="162">
        <v>1087</v>
      </c>
      <c r="G252" s="303"/>
      <c r="H252" s="162">
        <f t="shared" si="23"/>
        <v>0.28518859245630174</v>
      </c>
      <c r="I252" s="40">
        <v>0</v>
      </c>
      <c r="J252" s="63">
        <f t="shared" si="26"/>
        <v>310</v>
      </c>
      <c r="K252" s="39">
        <f t="shared" si="25"/>
        <v>310</v>
      </c>
      <c r="L252" s="38">
        <v>0</v>
      </c>
    </row>
    <row r="253" spans="1:12" customFormat="1" x14ac:dyDescent="0.2">
      <c r="A253" s="299"/>
      <c r="B253" s="49" t="s">
        <v>68</v>
      </c>
      <c r="C253" s="58" t="s">
        <v>236</v>
      </c>
      <c r="D253" s="59" t="s">
        <v>240</v>
      </c>
      <c r="E253" s="306"/>
      <c r="F253" s="162">
        <v>638</v>
      </c>
      <c r="G253" s="303"/>
      <c r="H253" s="162">
        <f t="shared" si="23"/>
        <v>0.48589341692789967</v>
      </c>
      <c r="I253" s="40">
        <v>0</v>
      </c>
      <c r="J253" s="63">
        <f t="shared" si="26"/>
        <v>310</v>
      </c>
      <c r="K253" s="39">
        <f t="shared" si="25"/>
        <v>310</v>
      </c>
      <c r="L253" s="38">
        <v>0</v>
      </c>
    </row>
    <row r="254" spans="1:12" customFormat="1" x14ac:dyDescent="0.2">
      <c r="A254" s="299"/>
      <c r="B254" s="49" t="s">
        <v>68</v>
      </c>
      <c r="C254" s="58" t="s">
        <v>236</v>
      </c>
      <c r="D254" s="59" t="s">
        <v>241</v>
      </c>
      <c r="E254" s="306"/>
      <c r="F254" s="162">
        <v>994</v>
      </c>
      <c r="G254" s="303"/>
      <c r="H254" s="162">
        <f t="shared" si="23"/>
        <v>0.3118712273641851</v>
      </c>
      <c r="I254" s="40">
        <v>0</v>
      </c>
      <c r="J254" s="63">
        <f t="shared" si="26"/>
        <v>310</v>
      </c>
      <c r="K254" s="39">
        <f t="shared" si="25"/>
        <v>310</v>
      </c>
      <c r="L254" s="38">
        <v>0</v>
      </c>
    </row>
    <row r="255" spans="1:12" customFormat="1" x14ac:dyDescent="0.2">
      <c r="A255" s="299"/>
      <c r="B255" s="49" t="s">
        <v>68</v>
      </c>
      <c r="C255" s="58" t="s">
        <v>236</v>
      </c>
      <c r="D255" s="59" t="s">
        <v>242</v>
      </c>
      <c r="E255" s="306"/>
      <c r="F255" s="162">
        <v>1030</v>
      </c>
      <c r="G255" s="303"/>
      <c r="H255" s="162">
        <f t="shared" si="23"/>
        <v>0.30097087378640774</v>
      </c>
      <c r="I255" s="40">
        <v>0</v>
      </c>
      <c r="J255" s="63">
        <f t="shared" ref="J255:J318" si="27">K255-I255</f>
        <v>310</v>
      </c>
      <c r="K255" s="39">
        <f t="shared" ref="K255:K318" si="28">F255*H255</f>
        <v>310</v>
      </c>
      <c r="L255" s="38">
        <v>0</v>
      </c>
    </row>
    <row r="256" spans="1:12" customFormat="1" x14ac:dyDescent="0.2">
      <c r="A256" s="299"/>
      <c r="B256" s="49" t="s">
        <v>68</v>
      </c>
      <c r="C256" s="58" t="s">
        <v>236</v>
      </c>
      <c r="D256" s="59" t="s">
        <v>243</v>
      </c>
      <c r="E256" s="306"/>
      <c r="F256" s="162">
        <v>1299</v>
      </c>
      <c r="G256" s="303"/>
      <c r="H256" s="162">
        <f t="shared" si="23"/>
        <v>0.23864511162432642</v>
      </c>
      <c r="I256" s="40">
        <v>0</v>
      </c>
      <c r="J256" s="63">
        <f t="shared" si="27"/>
        <v>310</v>
      </c>
      <c r="K256" s="39">
        <f t="shared" si="28"/>
        <v>310</v>
      </c>
      <c r="L256" s="38">
        <v>0</v>
      </c>
    </row>
    <row r="257" spans="1:12" customFormat="1" x14ac:dyDescent="0.2">
      <c r="A257" s="299"/>
      <c r="B257" s="49" t="s">
        <v>68</v>
      </c>
      <c r="C257" s="58" t="s">
        <v>236</v>
      </c>
      <c r="D257" s="59" t="s">
        <v>244</v>
      </c>
      <c r="E257" s="306"/>
      <c r="F257" s="162">
        <v>659</v>
      </c>
      <c r="G257" s="303"/>
      <c r="H257" s="162">
        <f t="shared" si="23"/>
        <v>0.47040971168437024</v>
      </c>
      <c r="I257" s="40">
        <v>0</v>
      </c>
      <c r="J257" s="63">
        <f t="shared" si="27"/>
        <v>310</v>
      </c>
      <c r="K257" s="39">
        <f t="shared" si="28"/>
        <v>310</v>
      </c>
      <c r="L257" s="38">
        <v>0</v>
      </c>
    </row>
    <row r="258" spans="1:12" customFormat="1" x14ac:dyDescent="0.2">
      <c r="A258" s="299"/>
      <c r="B258" s="49" t="s">
        <v>68</v>
      </c>
      <c r="C258" s="58" t="s">
        <v>236</v>
      </c>
      <c r="D258" s="59" t="s">
        <v>245</v>
      </c>
      <c r="E258" s="306"/>
      <c r="F258" s="162">
        <v>1023</v>
      </c>
      <c r="G258" s="303"/>
      <c r="H258" s="162">
        <f t="shared" si="23"/>
        <v>0.30303030303030304</v>
      </c>
      <c r="I258" s="40">
        <v>0</v>
      </c>
      <c r="J258" s="63">
        <f t="shared" si="27"/>
        <v>310</v>
      </c>
      <c r="K258" s="39">
        <f t="shared" si="28"/>
        <v>310</v>
      </c>
      <c r="L258" s="38">
        <v>0</v>
      </c>
    </row>
    <row r="259" spans="1:12" customFormat="1" x14ac:dyDescent="0.2">
      <c r="A259" s="299"/>
      <c r="B259" s="83" t="s">
        <v>68</v>
      </c>
      <c r="C259" s="84" t="s">
        <v>236</v>
      </c>
      <c r="D259" s="85" t="s">
        <v>507</v>
      </c>
      <c r="E259" s="306"/>
      <c r="F259" s="162">
        <v>5029</v>
      </c>
      <c r="G259" s="303"/>
      <c r="H259" s="162">
        <f>I259/F259</f>
        <v>0.39769337840524954</v>
      </c>
      <c r="I259" s="40">
        <v>2000</v>
      </c>
      <c r="J259" s="63">
        <f t="shared" si="27"/>
        <v>0</v>
      </c>
      <c r="K259" s="39">
        <f t="shared" si="28"/>
        <v>2000</v>
      </c>
      <c r="L259" s="38">
        <v>11</v>
      </c>
    </row>
    <row r="260" spans="1:12" customFormat="1" x14ac:dyDescent="0.2">
      <c r="A260" s="299"/>
      <c r="B260" s="83" t="s">
        <v>68</v>
      </c>
      <c r="C260" s="84" t="s">
        <v>236</v>
      </c>
      <c r="D260" s="85" t="s">
        <v>508</v>
      </c>
      <c r="E260" s="306"/>
      <c r="F260" s="162">
        <v>7105</v>
      </c>
      <c r="G260" s="303"/>
      <c r="H260" s="162">
        <f>I260/F260</f>
        <v>0.44334975369458129</v>
      </c>
      <c r="I260" s="40">
        <v>3150</v>
      </c>
      <c r="J260" s="63">
        <f t="shared" si="27"/>
        <v>0</v>
      </c>
      <c r="K260" s="39">
        <f t="shared" si="28"/>
        <v>3150</v>
      </c>
      <c r="L260" s="38">
        <v>17</v>
      </c>
    </row>
    <row r="261" spans="1:12" customFormat="1" x14ac:dyDescent="0.2">
      <c r="A261" s="299"/>
      <c r="B261" s="83" t="s">
        <v>68</v>
      </c>
      <c r="C261" s="84" t="s">
        <v>236</v>
      </c>
      <c r="D261" s="85" t="s">
        <v>509</v>
      </c>
      <c r="E261" s="307"/>
      <c r="F261" s="162">
        <v>590</v>
      </c>
      <c r="G261" s="304"/>
      <c r="H261" s="162">
        <f>I261/F261</f>
        <v>0.42372881355932202</v>
      </c>
      <c r="I261" s="40">
        <v>250</v>
      </c>
      <c r="J261" s="63">
        <f t="shared" si="27"/>
        <v>0</v>
      </c>
      <c r="K261" s="39">
        <f t="shared" si="28"/>
        <v>250</v>
      </c>
      <c r="L261" s="38">
        <v>1</v>
      </c>
    </row>
    <row r="262" spans="1:12" customFormat="1" x14ac:dyDescent="0.2">
      <c r="A262" s="299"/>
      <c r="B262" s="49" t="s">
        <v>68</v>
      </c>
      <c r="C262" s="58" t="s">
        <v>246</v>
      </c>
      <c r="D262" s="59" t="s">
        <v>219</v>
      </c>
      <c r="E262" s="305">
        <v>7530.2351189999999</v>
      </c>
      <c r="F262" s="162">
        <v>1039</v>
      </c>
      <c r="G262" s="302">
        <f>SUM(K262:K266)/E262</f>
        <v>0.45682504538541224</v>
      </c>
      <c r="H262" s="162">
        <f t="shared" si="23"/>
        <v>0.29836381135707413</v>
      </c>
      <c r="I262" s="40">
        <v>0</v>
      </c>
      <c r="J262" s="63">
        <f t="shared" si="27"/>
        <v>310</v>
      </c>
      <c r="K262" s="39">
        <f t="shared" si="28"/>
        <v>310</v>
      </c>
      <c r="L262" s="38">
        <v>0</v>
      </c>
    </row>
    <row r="263" spans="1:12" customFormat="1" x14ac:dyDescent="0.2">
      <c r="A263" s="299"/>
      <c r="B263" s="49" t="s">
        <v>68</v>
      </c>
      <c r="C263" s="58" t="s">
        <v>246</v>
      </c>
      <c r="D263" s="59" t="s">
        <v>220</v>
      </c>
      <c r="E263" s="306"/>
      <c r="F263" s="162">
        <v>1149</v>
      </c>
      <c r="G263" s="303"/>
      <c r="H263" s="162">
        <f t="shared" si="23"/>
        <v>0.26979982593559615</v>
      </c>
      <c r="I263" s="40">
        <v>0</v>
      </c>
      <c r="J263" s="63">
        <f t="shared" si="27"/>
        <v>310</v>
      </c>
      <c r="K263" s="39">
        <f t="shared" si="28"/>
        <v>310</v>
      </c>
      <c r="L263" s="38">
        <v>0</v>
      </c>
    </row>
    <row r="264" spans="1:12" customFormat="1" x14ac:dyDescent="0.2">
      <c r="A264" s="299"/>
      <c r="B264" s="49" t="s">
        <v>68</v>
      </c>
      <c r="C264" s="58" t="s">
        <v>246</v>
      </c>
      <c r="D264" s="59" t="s">
        <v>221</v>
      </c>
      <c r="E264" s="306"/>
      <c r="F264" s="162">
        <v>1173</v>
      </c>
      <c r="G264" s="303"/>
      <c r="H264" s="162">
        <f t="shared" si="23"/>
        <v>0.26427962489343565</v>
      </c>
      <c r="I264" s="40">
        <v>0</v>
      </c>
      <c r="J264" s="63">
        <f t="shared" si="27"/>
        <v>310</v>
      </c>
      <c r="K264" s="39">
        <f t="shared" si="28"/>
        <v>310</v>
      </c>
      <c r="L264" s="38">
        <v>0</v>
      </c>
    </row>
    <row r="265" spans="1:12" customFormat="1" x14ac:dyDescent="0.2">
      <c r="A265" s="299"/>
      <c r="B265" s="49" t="s">
        <v>68</v>
      </c>
      <c r="C265" s="58" t="s">
        <v>246</v>
      </c>
      <c r="D265" s="59" t="s">
        <v>222</v>
      </c>
      <c r="E265" s="306"/>
      <c r="F265" s="162">
        <v>834</v>
      </c>
      <c r="G265" s="303"/>
      <c r="H265" s="162">
        <f t="shared" si="23"/>
        <v>0.37170263788968827</v>
      </c>
      <c r="I265" s="40">
        <v>0</v>
      </c>
      <c r="J265" s="63">
        <f t="shared" si="27"/>
        <v>310</v>
      </c>
      <c r="K265" s="39">
        <f t="shared" si="28"/>
        <v>310</v>
      </c>
      <c r="L265" s="38">
        <v>0</v>
      </c>
    </row>
    <row r="266" spans="1:12" customFormat="1" x14ac:dyDescent="0.2">
      <c r="A266" s="299"/>
      <c r="B266" s="83" t="s">
        <v>68</v>
      </c>
      <c r="C266" s="84" t="s">
        <v>246</v>
      </c>
      <c r="D266" s="85" t="s">
        <v>223</v>
      </c>
      <c r="E266" s="307"/>
      <c r="F266" s="162">
        <v>3215</v>
      </c>
      <c r="G266" s="304"/>
      <c r="H266" s="162">
        <f>I266/F266</f>
        <v>0.68429237947122856</v>
      </c>
      <c r="I266" s="40">
        <v>2200</v>
      </c>
      <c r="J266" s="63">
        <f t="shared" si="27"/>
        <v>0</v>
      </c>
      <c r="K266" s="39">
        <f t="shared" si="28"/>
        <v>2200</v>
      </c>
      <c r="L266" s="38">
        <v>9</v>
      </c>
    </row>
    <row r="267" spans="1:12" customFormat="1" x14ac:dyDescent="0.2">
      <c r="A267" s="299"/>
      <c r="B267" s="49" t="s">
        <v>68</v>
      </c>
      <c r="C267" s="58" t="s">
        <v>247</v>
      </c>
      <c r="D267" s="59" t="s">
        <v>219</v>
      </c>
      <c r="E267" s="305">
        <f>5416.393384+4088.689208</f>
        <v>9505.0825919999988</v>
      </c>
      <c r="F267" s="162">
        <v>666</v>
      </c>
      <c r="G267" s="302">
        <f>SUM(K267:K276)/E267</f>
        <v>0.6480743265907648</v>
      </c>
      <c r="H267" s="162">
        <f t="shared" si="23"/>
        <v>0.46546546546546547</v>
      </c>
      <c r="I267" s="40">
        <v>0</v>
      </c>
      <c r="J267" s="63">
        <f t="shared" si="27"/>
        <v>310</v>
      </c>
      <c r="K267" s="39">
        <f t="shared" si="28"/>
        <v>310</v>
      </c>
      <c r="L267" s="38">
        <v>0</v>
      </c>
    </row>
    <row r="268" spans="1:12" customFormat="1" x14ac:dyDescent="0.2">
      <c r="A268" s="299"/>
      <c r="B268" s="49" t="s">
        <v>68</v>
      </c>
      <c r="C268" s="58" t="s">
        <v>247</v>
      </c>
      <c r="D268" s="59" t="s">
        <v>220</v>
      </c>
      <c r="E268" s="306"/>
      <c r="F268" s="162">
        <v>668</v>
      </c>
      <c r="G268" s="303"/>
      <c r="H268" s="162">
        <f t="shared" si="23"/>
        <v>0.46407185628742514</v>
      </c>
      <c r="I268" s="40">
        <v>0</v>
      </c>
      <c r="J268" s="63">
        <f t="shared" si="27"/>
        <v>310</v>
      </c>
      <c r="K268" s="39">
        <f t="shared" si="28"/>
        <v>310</v>
      </c>
      <c r="L268" s="38">
        <v>0</v>
      </c>
    </row>
    <row r="269" spans="1:12" customFormat="1" x14ac:dyDescent="0.2">
      <c r="A269" s="299"/>
      <c r="B269" s="49" t="s">
        <v>68</v>
      </c>
      <c r="C269" s="58" t="s">
        <v>247</v>
      </c>
      <c r="D269" s="59" t="s">
        <v>221</v>
      </c>
      <c r="E269" s="306"/>
      <c r="F269" s="162">
        <v>439</v>
      </c>
      <c r="G269" s="303"/>
      <c r="H269" s="162">
        <f t="shared" si="23"/>
        <v>0.70615034168564916</v>
      </c>
      <c r="I269" s="40">
        <v>0</v>
      </c>
      <c r="J269" s="63">
        <f t="shared" si="27"/>
        <v>310</v>
      </c>
      <c r="K269" s="39">
        <f t="shared" si="28"/>
        <v>310</v>
      </c>
      <c r="L269" s="38">
        <v>0</v>
      </c>
    </row>
    <row r="270" spans="1:12" customFormat="1" x14ac:dyDescent="0.2">
      <c r="A270" s="299"/>
      <c r="B270" s="49" t="s">
        <v>68</v>
      </c>
      <c r="C270" s="58" t="s">
        <v>247</v>
      </c>
      <c r="D270" s="59" t="s">
        <v>222</v>
      </c>
      <c r="E270" s="306"/>
      <c r="F270" s="162">
        <v>847</v>
      </c>
      <c r="G270" s="303"/>
      <c r="H270" s="162">
        <f t="shared" si="23"/>
        <v>0.36599763872491148</v>
      </c>
      <c r="I270" s="40">
        <v>0</v>
      </c>
      <c r="J270" s="63">
        <f t="shared" si="27"/>
        <v>310</v>
      </c>
      <c r="K270" s="39">
        <f t="shared" si="28"/>
        <v>310</v>
      </c>
      <c r="L270" s="38">
        <v>0</v>
      </c>
    </row>
    <row r="271" spans="1:12" customFormat="1" x14ac:dyDescent="0.2">
      <c r="A271" s="299"/>
      <c r="B271" s="49" t="s">
        <v>68</v>
      </c>
      <c r="C271" s="58" t="s">
        <v>247</v>
      </c>
      <c r="D271" s="59" t="s">
        <v>223</v>
      </c>
      <c r="E271" s="306"/>
      <c r="F271" s="162">
        <v>519</v>
      </c>
      <c r="G271" s="303"/>
      <c r="H271" s="162">
        <f t="shared" si="23"/>
        <v>0.59730250481695568</v>
      </c>
      <c r="I271" s="40">
        <v>0</v>
      </c>
      <c r="J271" s="63">
        <f t="shared" si="27"/>
        <v>310</v>
      </c>
      <c r="K271" s="39">
        <f t="shared" si="28"/>
        <v>310</v>
      </c>
      <c r="L271" s="38">
        <v>0</v>
      </c>
    </row>
    <row r="272" spans="1:12" customFormat="1" x14ac:dyDescent="0.2">
      <c r="A272" s="299"/>
      <c r="B272" s="49" t="s">
        <v>68</v>
      </c>
      <c r="C272" s="58" t="s">
        <v>247</v>
      </c>
      <c r="D272" s="59" t="s">
        <v>224</v>
      </c>
      <c r="E272" s="306"/>
      <c r="F272" s="162">
        <v>661</v>
      </c>
      <c r="G272" s="303"/>
      <c r="H272" s="162">
        <f t="shared" ref="H272:H345" si="29">310/F272</f>
        <v>0.46898638426626321</v>
      </c>
      <c r="I272" s="40">
        <v>0</v>
      </c>
      <c r="J272" s="63">
        <f t="shared" si="27"/>
        <v>310</v>
      </c>
      <c r="K272" s="39">
        <f t="shared" si="28"/>
        <v>310</v>
      </c>
      <c r="L272" s="38">
        <v>0</v>
      </c>
    </row>
    <row r="273" spans="1:12" customFormat="1" x14ac:dyDescent="0.2">
      <c r="A273" s="299"/>
      <c r="B273" s="83" t="s">
        <v>68</v>
      </c>
      <c r="C273" s="84" t="s">
        <v>247</v>
      </c>
      <c r="D273" s="85" t="s">
        <v>225</v>
      </c>
      <c r="E273" s="306"/>
      <c r="F273" s="162">
        <v>1775</v>
      </c>
      <c r="G273" s="303"/>
      <c r="H273" s="162">
        <f>I273/F273</f>
        <v>0.81690140845070425</v>
      </c>
      <c r="I273" s="40">
        <v>1450</v>
      </c>
      <c r="J273" s="63">
        <f t="shared" si="27"/>
        <v>0</v>
      </c>
      <c r="K273" s="39">
        <f t="shared" si="28"/>
        <v>1450</v>
      </c>
      <c r="L273" s="38">
        <v>4</v>
      </c>
    </row>
    <row r="274" spans="1:12" customFormat="1" x14ac:dyDescent="0.2">
      <c r="A274" s="299"/>
      <c r="B274" s="83" t="s">
        <v>68</v>
      </c>
      <c r="C274" s="84" t="s">
        <v>247</v>
      </c>
      <c r="D274" s="85" t="s">
        <v>226</v>
      </c>
      <c r="E274" s="306"/>
      <c r="F274" s="162">
        <v>681</v>
      </c>
      <c r="G274" s="303"/>
      <c r="H274" s="162">
        <f>I274/F274</f>
        <v>0.73421439060205584</v>
      </c>
      <c r="I274" s="40">
        <v>500</v>
      </c>
      <c r="J274" s="63">
        <f t="shared" si="27"/>
        <v>0</v>
      </c>
      <c r="K274" s="39">
        <f t="shared" si="28"/>
        <v>500.00000000000006</v>
      </c>
      <c r="L274" s="38">
        <v>3</v>
      </c>
    </row>
    <row r="275" spans="1:12" customFormat="1" x14ac:dyDescent="0.2">
      <c r="A275" s="299"/>
      <c r="B275" s="83" t="s">
        <v>68</v>
      </c>
      <c r="C275" s="84" t="s">
        <v>247</v>
      </c>
      <c r="D275" s="85" t="s">
        <v>227</v>
      </c>
      <c r="E275" s="306"/>
      <c r="F275" s="162">
        <v>934</v>
      </c>
      <c r="G275" s="303"/>
      <c r="H275" s="162">
        <f>I275/F275</f>
        <v>0.85653104925053536</v>
      </c>
      <c r="I275" s="40">
        <v>800</v>
      </c>
      <c r="J275" s="63">
        <f t="shared" si="27"/>
        <v>0</v>
      </c>
      <c r="K275" s="39">
        <f t="shared" si="28"/>
        <v>800</v>
      </c>
      <c r="L275" s="38">
        <v>3</v>
      </c>
    </row>
    <row r="276" spans="1:12" customFormat="1" x14ac:dyDescent="0.2">
      <c r="A276" s="299"/>
      <c r="B276" s="83" t="s">
        <v>68</v>
      </c>
      <c r="C276" s="84" t="s">
        <v>247</v>
      </c>
      <c r="D276" s="85" t="s">
        <v>230</v>
      </c>
      <c r="E276" s="307"/>
      <c r="F276" s="162">
        <v>1795</v>
      </c>
      <c r="G276" s="304"/>
      <c r="H276" s="162">
        <f>I276/F276</f>
        <v>0.86350974930362112</v>
      </c>
      <c r="I276" s="40">
        <v>1550</v>
      </c>
      <c r="J276" s="63">
        <f t="shared" si="27"/>
        <v>0</v>
      </c>
      <c r="K276" s="39">
        <f t="shared" si="28"/>
        <v>1550</v>
      </c>
      <c r="L276" s="38">
        <v>5</v>
      </c>
    </row>
    <row r="277" spans="1:12" customFormat="1" x14ac:dyDescent="0.2">
      <c r="A277" s="299"/>
      <c r="B277" s="49" t="s">
        <v>68</v>
      </c>
      <c r="C277" s="58" t="s">
        <v>248</v>
      </c>
      <c r="D277" s="59" t="s">
        <v>219</v>
      </c>
      <c r="E277" s="305">
        <v>16740.395585999999</v>
      </c>
      <c r="F277" s="162">
        <v>1325</v>
      </c>
      <c r="G277" s="302">
        <f>SUM(K277:K282)/E277</f>
        <v>0.56330807426595786</v>
      </c>
      <c r="H277" s="162">
        <f t="shared" si="29"/>
        <v>0.2339622641509434</v>
      </c>
      <c r="I277" s="40">
        <v>0</v>
      </c>
      <c r="J277" s="63">
        <f t="shared" si="27"/>
        <v>310</v>
      </c>
      <c r="K277" s="39">
        <f t="shared" si="28"/>
        <v>310</v>
      </c>
      <c r="L277" s="38">
        <v>0</v>
      </c>
    </row>
    <row r="278" spans="1:12" customFormat="1" x14ac:dyDescent="0.2">
      <c r="A278" s="299"/>
      <c r="B278" s="49" t="s">
        <v>68</v>
      </c>
      <c r="C278" s="58" t="s">
        <v>248</v>
      </c>
      <c r="D278" s="59" t="s">
        <v>220</v>
      </c>
      <c r="E278" s="306"/>
      <c r="F278" s="162">
        <v>661</v>
      </c>
      <c r="G278" s="303"/>
      <c r="H278" s="162">
        <f t="shared" si="29"/>
        <v>0.46898638426626321</v>
      </c>
      <c r="I278" s="40">
        <v>0</v>
      </c>
      <c r="J278" s="63">
        <f t="shared" si="27"/>
        <v>310</v>
      </c>
      <c r="K278" s="39">
        <f t="shared" si="28"/>
        <v>310</v>
      </c>
      <c r="L278" s="38">
        <v>0</v>
      </c>
    </row>
    <row r="279" spans="1:12" customFormat="1" x14ac:dyDescent="0.2">
      <c r="A279" s="299"/>
      <c r="B279" s="49" t="s">
        <v>68</v>
      </c>
      <c r="C279" s="58" t="s">
        <v>248</v>
      </c>
      <c r="D279" s="59" t="s">
        <v>221</v>
      </c>
      <c r="E279" s="306"/>
      <c r="F279" s="162">
        <v>551</v>
      </c>
      <c r="G279" s="303"/>
      <c r="H279" s="162">
        <f t="shared" si="29"/>
        <v>0.56261343012704179</v>
      </c>
      <c r="I279" s="40">
        <v>0</v>
      </c>
      <c r="J279" s="63">
        <f t="shared" si="27"/>
        <v>310</v>
      </c>
      <c r="K279" s="39">
        <f t="shared" si="28"/>
        <v>310</v>
      </c>
      <c r="L279" s="38">
        <v>0</v>
      </c>
    </row>
    <row r="280" spans="1:12" customFormat="1" x14ac:dyDescent="0.2">
      <c r="A280" s="299"/>
      <c r="B280" s="83" t="s">
        <v>68</v>
      </c>
      <c r="C280" s="84" t="s">
        <v>248</v>
      </c>
      <c r="D280" s="85" t="s">
        <v>222</v>
      </c>
      <c r="E280" s="306"/>
      <c r="F280" s="162">
        <v>5262</v>
      </c>
      <c r="G280" s="303"/>
      <c r="H280" s="162">
        <f>I280/F280</f>
        <v>0.60813378943367535</v>
      </c>
      <c r="I280" s="40">
        <v>3200</v>
      </c>
      <c r="J280" s="63">
        <f t="shared" si="27"/>
        <v>0</v>
      </c>
      <c r="K280" s="39">
        <f t="shared" si="28"/>
        <v>3199.9999999999995</v>
      </c>
      <c r="L280" s="38">
        <v>9</v>
      </c>
    </row>
    <row r="281" spans="1:12" customFormat="1" x14ac:dyDescent="0.2">
      <c r="A281" s="299"/>
      <c r="B281" s="83" t="s">
        <v>68</v>
      </c>
      <c r="C281" s="84" t="s">
        <v>248</v>
      </c>
      <c r="D281" s="85" t="s">
        <v>223</v>
      </c>
      <c r="E281" s="306"/>
      <c r="F281" s="162">
        <v>6496</v>
      </c>
      <c r="G281" s="303"/>
      <c r="H281" s="162">
        <f>I281/F281</f>
        <v>0.53879310344827591</v>
      </c>
      <c r="I281" s="40">
        <v>3500</v>
      </c>
      <c r="J281" s="63">
        <f t="shared" si="27"/>
        <v>0</v>
      </c>
      <c r="K281" s="39">
        <f t="shared" si="28"/>
        <v>3500.0000000000005</v>
      </c>
      <c r="L281" s="38">
        <v>10</v>
      </c>
    </row>
    <row r="282" spans="1:12" customFormat="1" x14ac:dyDescent="0.2">
      <c r="A282" s="299"/>
      <c r="B282" s="83" t="s">
        <v>68</v>
      </c>
      <c r="C282" s="84" t="s">
        <v>248</v>
      </c>
      <c r="D282" s="85" t="s">
        <v>224</v>
      </c>
      <c r="E282" s="307"/>
      <c r="F282" s="162">
        <v>2431</v>
      </c>
      <c r="G282" s="304"/>
      <c r="H282" s="162">
        <f>I282/F282</f>
        <v>0.74043603455368157</v>
      </c>
      <c r="I282" s="40">
        <v>1800</v>
      </c>
      <c r="J282" s="63">
        <f t="shared" si="27"/>
        <v>0</v>
      </c>
      <c r="K282" s="39">
        <f t="shared" si="28"/>
        <v>1800</v>
      </c>
      <c r="L282" s="38">
        <v>5</v>
      </c>
    </row>
    <row r="283" spans="1:12" customFormat="1" x14ac:dyDescent="0.2">
      <c r="A283" s="299"/>
      <c r="B283" s="49" t="s">
        <v>67</v>
      </c>
      <c r="C283" s="58" t="s">
        <v>218</v>
      </c>
      <c r="D283" s="59" t="s">
        <v>249</v>
      </c>
      <c r="E283" s="305">
        <v>24747.925404000001</v>
      </c>
      <c r="F283" s="162">
        <v>847</v>
      </c>
      <c r="G283" s="302">
        <f>SUM(K283:K295)/E283</f>
        <v>0.24284863890161093</v>
      </c>
      <c r="H283" s="162">
        <f t="shared" si="29"/>
        <v>0.36599763872491148</v>
      </c>
      <c r="I283" s="40">
        <v>0</v>
      </c>
      <c r="J283" s="63">
        <f t="shared" si="27"/>
        <v>310</v>
      </c>
      <c r="K283" s="39">
        <f t="shared" si="28"/>
        <v>310</v>
      </c>
      <c r="L283" s="38">
        <v>0</v>
      </c>
    </row>
    <row r="284" spans="1:12" customFormat="1" x14ac:dyDescent="0.2">
      <c r="A284" s="299"/>
      <c r="B284" s="49" t="s">
        <v>67</v>
      </c>
      <c r="C284" s="58" t="s">
        <v>218</v>
      </c>
      <c r="D284" s="59" t="s">
        <v>250</v>
      </c>
      <c r="E284" s="306"/>
      <c r="F284" s="162">
        <v>737</v>
      </c>
      <c r="G284" s="303"/>
      <c r="H284" s="162">
        <f t="shared" si="29"/>
        <v>0.42062415196743552</v>
      </c>
      <c r="I284" s="40">
        <v>0</v>
      </c>
      <c r="J284" s="63">
        <f t="shared" si="27"/>
        <v>310</v>
      </c>
      <c r="K284" s="39">
        <f t="shared" si="28"/>
        <v>310</v>
      </c>
      <c r="L284" s="38">
        <v>0</v>
      </c>
    </row>
    <row r="285" spans="1:12" customFormat="1" x14ac:dyDescent="0.2">
      <c r="A285" s="299"/>
      <c r="B285" s="49" t="s">
        <v>67</v>
      </c>
      <c r="C285" s="58" t="s">
        <v>218</v>
      </c>
      <c r="D285" s="59" t="s">
        <v>251</v>
      </c>
      <c r="E285" s="306"/>
      <c r="F285" s="162">
        <v>903</v>
      </c>
      <c r="G285" s="303"/>
      <c r="H285" s="162">
        <f t="shared" si="29"/>
        <v>0.3433001107419712</v>
      </c>
      <c r="I285" s="40">
        <v>0</v>
      </c>
      <c r="J285" s="63">
        <f t="shared" si="27"/>
        <v>310</v>
      </c>
      <c r="K285" s="39">
        <f t="shared" si="28"/>
        <v>310</v>
      </c>
      <c r="L285" s="38">
        <v>0</v>
      </c>
    </row>
    <row r="286" spans="1:12" customFormat="1" x14ac:dyDescent="0.2">
      <c r="A286" s="299"/>
      <c r="B286" s="49" t="s">
        <v>67</v>
      </c>
      <c r="C286" s="58" t="s">
        <v>218</v>
      </c>
      <c r="D286" s="59" t="s">
        <v>252</v>
      </c>
      <c r="E286" s="306"/>
      <c r="F286" s="162">
        <v>1286</v>
      </c>
      <c r="G286" s="303"/>
      <c r="H286" s="162">
        <f t="shared" si="29"/>
        <v>0.24105754276827371</v>
      </c>
      <c r="I286" s="40">
        <v>0</v>
      </c>
      <c r="J286" s="63">
        <f t="shared" si="27"/>
        <v>310</v>
      </c>
      <c r="K286" s="39">
        <f t="shared" si="28"/>
        <v>310</v>
      </c>
      <c r="L286" s="38">
        <v>0</v>
      </c>
    </row>
    <row r="287" spans="1:12" customFormat="1" x14ac:dyDescent="0.2">
      <c r="A287" s="299"/>
      <c r="B287" s="49" t="s">
        <v>67</v>
      </c>
      <c r="C287" s="58" t="s">
        <v>218</v>
      </c>
      <c r="D287" s="59" t="s">
        <v>253</v>
      </c>
      <c r="E287" s="306"/>
      <c r="F287" s="162">
        <v>1078</v>
      </c>
      <c r="G287" s="303"/>
      <c r="H287" s="162">
        <f t="shared" si="29"/>
        <v>0.28756957328385901</v>
      </c>
      <c r="I287" s="40">
        <v>0</v>
      </c>
      <c r="J287" s="63">
        <f t="shared" si="27"/>
        <v>310</v>
      </c>
      <c r="K287" s="39">
        <f t="shared" si="28"/>
        <v>310</v>
      </c>
      <c r="L287" s="38">
        <v>0</v>
      </c>
    </row>
    <row r="288" spans="1:12" customFormat="1" x14ac:dyDescent="0.2">
      <c r="A288" s="299"/>
      <c r="B288" s="49" t="s">
        <v>67</v>
      </c>
      <c r="C288" s="58" t="s">
        <v>218</v>
      </c>
      <c r="D288" s="59" t="s">
        <v>254</v>
      </c>
      <c r="E288" s="306"/>
      <c r="F288" s="162">
        <v>620</v>
      </c>
      <c r="G288" s="303"/>
      <c r="H288" s="162">
        <f t="shared" si="29"/>
        <v>0.5</v>
      </c>
      <c r="I288" s="40">
        <v>0</v>
      </c>
      <c r="J288" s="63">
        <f t="shared" si="27"/>
        <v>310</v>
      </c>
      <c r="K288" s="39">
        <f t="shared" si="28"/>
        <v>310</v>
      </c>
      <c r="L288" s="38">
        <v>0</v>
      </c>
    </row>
    <row r="289" spans="1:12" customFormat="1" x14ac:dyDescent="0.2">
      <c r="A289" s="299"/>
      <c r="B289" s="49" t="s">
        <v>67</v>
      </c>
      <c r="C289" s="58" t="s">
        <v>218</v>
      </c>
      <c r="D289" s="59" t="s">
        <v>255</v>
      </c>
      <c r="E289" s="306"/>
      <c r="F289" s="162">
        <v>799</v>
      </c>
      <c r="G289" s="303"/>
      <c r="H289" s="162">
        <f t="shared" si="29"/>
        <v>0.38798498122653319</v>
      </c>
      <c r="I289" s="40">
        <v>0</v>
      </c>
      <c r="J289" s="63">
        <f t="shared" si="27"/>
        <v>310</v>
      </c>
      <c r="K289" s="39">
        <f t="shared" si="28"/>
        <v>310</v>
      </c>
      <c r="L289" s="38">
        <v>0</v>
      </c>
    </row>
    <row r="290" spans="1:12" customFormat="1" x14ac:dyDescent="0.2">
      <c r="A290" s="299"/>
      <c r="B290" s="49" t="s">
        <v>67</v>
      </c>
      <c r="C290" s="58" t="s">
        <v>218</v>
      </c>
      <c r="D290" s="59" t="s">
        <v>256</v>
      </c>
      <c r="E290" s="306"/>
      <c r="F290" s="162">
        <v>543</v>
      </c>
      <c r="G290" s="303"/>
      <c r="H290" s="162">
        <f t="shared" si="29"/>
        <v>0.57090239410681398</v>
      </c>
      <c r="I290" s="40">
        <v>0</v>
      </c>
      <c r="J290" s="63">
        <f t="shared" si="27"/>
        <v>310</v>
      </c>
      <c r="K290" s="39">
        <f t="shared" si="28"/>
        <v>310</v>
      </c>
      <c r="L290" s="38">
        <v>0</v>
      </c>
    </row>
    <row r="291" spans="1:12" customFormat="1" x14ac:dyDescent="0.2">
      <c r="A291" s="299"/>
      <c r="B291" s="49" t="s">
        <v>67</v>
      </c>
      <c r="C291" s="58" t="s">
        <v>218</v>
      </c>
      <c r="D291" s="59" t="s">
        <v>257</v>
      </c>
      <c r="E291" s="306"/>
      <c r="F291" s="162">
        <v>1584</v>
      </c>
      <c r="G291" s="303"/>
      <c r="H291" s="162">
        <f t="shared" si="29"/>
        <v>0.19570707070707072</v>
      </c>
      <c r="I291" s="40">
        <v>0</v>
      </c>
      <c r="J291" s="63">
        <f t="shared" si="27"/>
        <v>310</v>
      </c>
      <c r="K291" s="39">
        <f t="shared" si="28"/>
        <v>310</v>
      </c>
      <c r="L291" s="38">
        <v>0</v>
      </c>
    </row>
    <row r="292" spans="1:12" customFormat="1" x14ac:dyDescent="0.2">
      <c r="A292" s="299"/>
      <c r="B292" s="49" t="s">
        <v>67</v>
      </c>
      <c r="C292" s="58" t="s">
        <v>218</v>
      </c>
      <c r="D292" s="59" t="s">
        <v>258</v>
      </c>
      <c r="E292" s="306"/>
      <c r="F292" s="162">
        <v>1568</v>
      </c>
      <c r="G292" s="303"/>
      <c r="H292" s="162">
        <f t="shared" si="29"/>
        <v>0.19770408163265307</v>
      </c>
      <c r="I292" s="40">
        <v>0</v>
      </c>
      <c r="J292" s="63">
        <f t="shared" si="27"/>
        <v>310</v>
      </c>
      <c r="K292" s="39">
        <f t="shared" si="28"/>
        <v>310</v>
      </c>
      <c r="L292" s="38">
        <v>0</v>
      </c>
    </row>
    <row r="293" spans="1:12" customFormat="1" x14ac:dyDescent="0.2">
      <c r="A293" s="299"/>
      <c r="B293" s="49" t="s">
        <v>67</v>
      </c>
      <c r="C293" s="58" t="s">
        <v>218</v>
      </c>
      <c r="D293" s="59" t="s">
        <v>259</v>
      </c>
      <c r="E293" s="306"/>
      <c r="F293" s="162">
        <v>1537</v>
      </c>
      <c r="G293" s="303"/>
      <c r="H293" s="162">
        <f t="shared" si="29"/>
        <v>0.20169160702667535</v>
      </c>
      <c r="I293" s="40">
        <v>0</v>
      </c>
      <c r="J293" s="63">
        <f t="shared" si="27"/>
        <v>310</v>
      </c>
      <c r="K293" s="39">
        <f t="shared" si="28"/>
        <v>310</v>
      </c>
      <c r="L293" s="38">
        <v>0</v>
      </c>
    </row>
    <row r="294" spans="1:12" customFormat="1" x14ac:dyDescent="0.2">
      <c r="A294" s="299"/>
      <c r="B294" s="83" t="s">
        <v>67</v>
      </c>
      <c r="C294" s="84" t="s">
        <v>218</v>
      </c>
      <c r="D294" s="85" t="s">
        <v>260</v>
      </c>
      <c r="E294" s="306"/>
      <c r="F294" s="162">
        <v>5691</v>
      </c>
      <c r="G294" s="303"/>
      <c r="H294" s="162">
        <f>I294/F294</f>
        <v>0.22843085573712879</v>
      </c>
      <c r="I294" s="40">
        <v>1300</v>
      </c>
      <c r="J294" s="63">
        <f t="shared" si="27"/>
        <v>0</v>
      </c>
      <c r="K294" s="39">
        <f t="shared" si="28"/>
        <v>1300</v>
      </c>
      <c r="L294" s="38">
        <v>9</v>
      </c>
    </row>
    <row r="295" spans="1:12" customFormat="1" x14ac:dyDescent="0.2">
      <c r="A295" s="299"/>
      <c r="B295" s="83" t="s">
        <v>67</v>
      </c>
      <c r="C295" s="84" t="s">
        <v>218</v>
      </c>
      <c r="D295" s="85" t="s">
        <v>261</v>
      </c>
      <c r="E295" s="307"/>
      <c r="F295" s="162">
        <v>5565</v>
      </c>
      <c r="G295" s="304"/>
      <c r="H295" s="162">
        <f>I295/F295</f>
        <v>0.23360287511230907</v>
      </c>
      <c r="I295" s="40">
        <v>1300</v>
      </c>
      <c r="J295" s="63">
        <f t="shared" si="27"/>
        <v>0</v>
      </c>
      <c r="K295" s="39">
        <f t="shared" si="28"/>
        <v>1300</v>
      </c>
      <c r="L295" s="38">
        <v>9</v>
      </c>
    </row>
    <row r="296" spans="1:12" customFormat="1" x14ac:dyDescent="0.2">
      <c r="A296" s="299"/>
      <c r="B296" s="49" t="s">
        <v>67</v>
      </c>
      <c r="C296" s="58" t="s">
        <v>228</v>
      </c>
      <c r="D296" s="59" t="s">
        <v>249</v>
      </c>
      <c r="E296" s="305">
        <v>16951.854952999998</v>
      </c>
      <c r="F296" s="162">
        <v>801</v>
      </c>
      <c r="G296" s="302">
        <f>SUM(K296:K302)/E296</f>
        <v>0.27902551155104849</v>
      </c>
      <c r="H296" s="162">
        <f t="shared" si="29"/>
        <v>0.38701622971285893</v>
      </c>
      <c r="I296" s="40">
        <v>0</v>
      </c>
      <c r="J296" s="63">
        <f t="shared" si="27"/>
        <v>310</v>
      </c>
      <c r="K296" s="39">
        <f t="shared" si="28"/>
        <v>310</v>
      </c>
      <c r="L296" s="38">
        <v>0</v>
      </c>
    </row>
    <row r="297" spans="1:12" customFormat="1" x14ac:dyDescent="0.2">
      <c r="A297" s="299"/>
      <c r="B297" s="49" t="s">
        <v>67</v>
      </c>
      <c r="C297" s="58" t="s">
        <v>228</v>
      </c>
      <c r="D297" s="59" t="s">
        <v>250</v>
      </c>
      <c r="E297" s="306"/>
      <c r="F297" s="162">
        <v>811</v>
      </c>
      <c r="G297" s="303"/>
      <c r="H297" s="162">
        <f t="shared" si="29"/>
        <v>0.38224414303329224</v>
      </c>
      <c r="I297" s="40">
        <v>0</v>
      </c>
      <c r="J297" s="63">
        <f t="shared" si="27"/>
        <v>310</v>
      </c>
      <c r="K297" s="39">
        <f t="shared" si="28"/>
        <v>310</v>
      </c>
      <c r="L297" s="38">
        <v>0</v>
      </c>
    </row>
    <row r="298" spans="1:12" customFormat="1" x14ac:dyDescent="0.2">
      <c r="A298" s="299"/>
      <c r="B298" s="49" t="s">
        <v>67</v>
      </c>
      <c r="C298" s="58" t="s">
        <v>228</v>
      </c>
      <c r="D298" s="59" t="s">
        <v>251</v>
      </c>
      <c r="E298" s="306"/>
      <c r="F298" s="162">
        <v>828</v>
      </c>
      <c r="G298" s="303"/>
      <c r="H298" s="162">
        <f t="shared" si="29"/>
        <v>0.37439613526570048</v>
      </c>
      <c r="I298" s="40">
        <v>0</v>
      </c>
      <c r="J298" s="63">
        <f t="shared" si="27"/>
        <v>310</v>
      </c>
      <c r="K298" s="39">
        <f t="shared" si="28"/>
        <v>310</v>
      </c>
      <c r="L298" s="38">
        <v>0</v>
      </c>
    </row>
    <row r="299" spans="1:12" customFormat="1" x14ac:dyDescent="0.2">
      <c r="A299" s="299"/>
      <c r="B299" s="83" t="s">
        <v>67</v>
      </c>
      <c r="C299" s="84" t="s">
        <v>228</v>
      </c>
      <c r="D299" s="85" t="s">
        <v>252</v>
      </c>
      <c r="E299" s="306"/>
      <c r="F299" s="162">
        <v>1508</v>
      </c>
      <c r="G299" s="303"/>
      <c r="H299" s="162">
        <f>I299/F299</f>
        <v>0.39787798408488062</v>
      </c>
      <c r="I299" s="40">
        <v>600</v>
      </c>
      <c r="J299" s="63">
        <f t="shared" si="27"/>
        <v>0</v>
      </c>
      <c r="K299" s="39">
        <f t="shared" si="28"/>
        <v>600</v>
      </c>
      <c r="L299" s="38">
        <v>3</v>
      </c>
    </row>
    <row r="300" spans="1:12" customFormat="1" x14ac:dyDescent="0.2">
      <c r="A300" s="299"/>
      <c r="B300" s="83" t="s">
        <v>67</v>
      </c>
      <c r="C300" s="84" t="s">
        <v>228</v>
      </c>
      <c r="D300" s="85" t="s">
        <v>253</v>
      </c>
      <c r="E300" s="306"/>
      <c r="F300" s="162">
        <v>7305</v>
      </c>
      <c r="G300" s="303"/>
      <c r="H300" s="162">
        <f>I300/F300</f>
        <v>0.2327173169062286</v>
      </c>
      <c r="I300" s="40">
        <v>1700</v>
      </c>
      <c r="J300" s="63">
        <f t="shared" si="27"/>
        <v>0</v>
      </c>
      <c r="K300" s="39">
        <f t="shared" si="28"/>
        <v>1700</v>
      </c>
      <c r="L300" s="38">
        <v>9</v>
      </c>
    </row>
    <row r="301" spans="1:12" customFormat="1" x14ac:dyDescent="0.2">
      <c r="A301" s="299"/>
      <c r="B301" s="83" t="s">
        <v>67</v>
      </c>
      <c r="C301" s="84" t="s">
        <v>228</v>
      </c>
      <c r="D301" s="85" t="s">
        <v>254</v>
      </c>
      <c r="E301" s="306"/>
      <c r="F301" s="162">
        <v>2230</v>
      </c>
      <c r="G301" s="303"/>
      <c r="H301" s="162">
        <f>I301/F301</f>
        <v>0.3811659192825112</v>
      </c>
      <c r="I301" s="40">
        <v>850</v>
      </c>
      <c r="J301" s="63">
        <f t="shared" si="27"/>
        <v>0</v>
      </c>
      <c r="K301" s="39">
        <f t="shared" si="28"/>
        <v>850</v>
      </c>
      <c r="L301" s="38">
        <v>5</v>
      </c>
    </row>
    <row r="302" spans="1:12" customFormat="1" x14ac:dyDescent="0.2">
      <c r="A302" s="299"/>
      <c r="B302" s="83" t="s">
        <v>67</v>
      </c>
      <c r="C302" s="84" t="s">
        <v>228</v>
      </c>
      <c r="D302" s="85" t="s">
        <v>255</v>
      </c>
      <c r="E302" s="307"/>
      <c r="F302" s="162">
        <v>1675</v>
      </c>
      <c r="G302" s="304"/>
      <c r="H302" s="162">
        <f>I302/F302</f>
        <v>0.38805970149253732</v>
      </c>
      <c r="I302" s="40">
        <v>650</v>
      </c>
      <c r="J302" s="63">
        <f t="shared" si="27"/>
        <v>0</v>
      </c>
      <c r="K302" s="39">
        <f t="shared" si="28"/>
        <v>650</v>
      </c>
      <c r="L302" s="38">
        <v>4</v>
      </c>
    </row>
    <row r="303" spans="1:12" customFormat="1" x14ac:dyDescent="0.2">
      <c r="A303" s="299"/>
      <c r="B303" s="49" t="s">
        <v>67</v>
      </c>
      <c r="C303" s="58" t="s">
        <v>229</v>
      </c>
      <c r="D303" s="59" t="s">
        <v>249</v>
      </c>
      <c r="E303" s="305">
        <v>13730.239823</v>
      </c>
      <c r="F303" s="162">
        <v>1257</v>
      </c>
      <c r="G303" s="302">
        <f>SUM(K303:K306)/E303</f>
        <v>0.2498135534569679</v>
      </c>
      <c r="H303" s="162">
        <f t="shared" si="29"/>
        <v>0.24661893396976931</v>
      </c>
      <c r="I303" s="40">
        <v>0</v>
      </c>
      <c r="J303" s="63">
        <f t="shared" si="27"/>
        <v>310</v>
      </c>
      <c r="K303" s="39">
        <f t="shared" si="28"/>
        <v>310</v>
      </c>
      <c r="L303" s="38">
        <v>0</v>
      </c>
    </row>
    <row r="304" spans="1:12" customFormat="1" x14ac:dyDescent="0.2">
      <c r="A304" s="299"/>
      <c r="B304" s="49" t="s">
        <v>67</v>
      </c>
      <c r="C304" s="58" t="s">
        <v>229</v>
      </c>
      <c r="D304" s="59" t="s">
        <v>250</v>
      </c>
      <c r="E304" s="306"/>
      <c r="F304" s="162">
        <v>857</v>
      </c>
      <c r="G304" s="303"/>
      <c r="H304" s="162">
        <f t="shared" si="29"/>
        <v>0.36172695449241538</v>
      </c>
      <c r="I304" s="40">
        <v>0</v>
      </c>
      <c r="J304" s="63">
        <f t="shared" si="27"/>
        <v>310</v>
      </c>
      <c r="K304" s="39">
        <f t="shared" si="28"/>
        <v>310</v>
      </c>
      <c r="L304" s="38">
        <v>0</v>
      </c>
    </row>
    <row r="305" spans="1:12" customFormat="1" x14ac:dyDescent="0.2">
      <c r="A305" s="299"/>
      <c r="B305" s="49" t="s">
        <v>67</v>
      </c>
      <c r="C305" s="58" t="s">
        <v>229</v>
      </c>
      <c r="D305" s="59" t="s">
        <v>251</v>
      </c>
      <c r="E305" s="306"/>
      <c r="F305" s="162">
        <v>833</v>
      </c>
      <c r="G305" s="303"/>
      <c r="H305" s="162">
        <f t="shared" si="29"/>
        <v>0.37214885954381755</v>
      </c>
      <c r="I305" s="40">
        <v>0</v>
      </c>
      <c r="J305" s="63">
        <f t="shared" si="27"/>
        <v>310</v>
      </c>
      <c r="K305" s="39">
        <f t="shared" si="28"/>
        <v>310</v>
      </c>
      <c r="L305" s="38">
        <v>0</v>
      </c>
    </row>
    <row r="306" spans="1:12" customFormat="1" x14ac:dyDescent="0.2">
      <c r="A306" s="299"/>
      <c r="B306" s="83" t="s">
        <v>67</v>
      </c>
      <c r="C306" s="84" t="s">
        <v>229</v>
      </c>
      <c r="D306" s="85" t="s">
        <v>252</v>
      </c>
      <c r="E306" s="307"/>
      <c r="F306" s="162">
        <v>9905</v>
      </c>
      <c r="G306" s="304"/>
      <c r="H306" s="162">
        <f>I306/F306</f>
        <v>0.25239777889954568</v>
      </c>
      <c r="I306" s="40">
        <v>2500</v>
      </c>
      <c r="J306" s="63">
        <f t="shared" si="27"/>
        <v>0</v>
      </c>
      <c r="K306" s="39">
        <f t="shared" si="28"/>
        <v>2500</v>
      </c>
      <c r="L306" s="38">
        <v>16</v>
      </c>
    </row>
    <row r="307" spans="1:12" customFormat="1" x14ac:dyDescent="0.2">
      <c r="A307" s="299"/>
      <c r="B307" s="49" t="s">
        <v>67</v>
      </c>
      <c r="C307" s="58" t="s">
        <v>232</v>
      </c>
      <c r="D307" s="59" t="s">
        <v>249</v>
      </c>
      <c r="E307" s="305">
        <v>7070.1728409999996</v>
      </c>
      <c r="F307" s="162">
        <v>447</v>
      </c>
      <c r="G307" s="302">
        <f>SUM(K307:K312)/E307</f>
        <v>0.30975197484567407</v>
      </c>
      <c r="H307" s="162">
        <f t="shared" si="29"/>
        <v>0.69351230425055932</v>
      </c>
      <c r="I307" s="40">
        <v>0</v>
      </c>
      <c r="J307" s="63">
        <f t="shared" si="27"/>
        <v>310</v>
      </c>
      <c r="K307" s="39">
        <f t="shared" si="28"/>
        <v>310</v>
      </c>
      <c r="L307" s="38">
        <v>0</v>
      </c>
    </row>
    <row r="308" spans="1:12" customFormat="1" x14ac:dyDescent="0.2">
      <c r="A308" s="299"/>
      <c r="B308" s="49" t="s">
        <v>67</v>
      </c>
      <c r="C308" s="58" t="s">
        <v>232</v>
      </c>
      <c r="D308" s="59" t="s">
        <v>250</v>
      </c>
      <c r="E308" s="306"/>
      <c r="F308" s="162">
        <v>591</v>
      </c>
      <c r="G308" s="303"/>
      <c r="H308" s="162">
        <f t="shared" si="29"/>
        <v>0.52453468697123518</v>
      </c>
      <c r="I308" s="40">
        <v>0</v>
      </c>
      <c r="J308" s="63">
        <f t="shared" si="27"/>
        <v>310</v>
      </c>
      <c r="K308" s="39">
        <f t="shared" si="28"/>
        <v>310</v>
      </c>
      <c r="L308" s="38">
        <v>0</v>
      </c>
    </row>
    <row r="309" spans="1:12" customFormat="1" x14ac:dyDescent="0.2">
      <c r="A309" s="299"/>
      <c r="B309" s="49" t="s">
        <v>67</v>
      </c>
      <c r="C309" s="58" t="s">
        <v>232</v>
      </c>
      <c r="D309" s="59" t="s">
        <v>251</v>
      </c>
      <c r="E309" s="306"/>
      <c r="F309" s="162">
        <v>740</v>
      </c>
      <c r="G309" s="303"/>
      <c r="H309" s="162">
        <f t="shared" si="29"/>
        <v>0.41891891891891891</v>
      </c>
      <c r="I309" s="40">
        <v>0</v>
      </c>
      <c r="J309" s="63">
        <f t="shared" si="27"/>
        <v>310</v>
      </c>
      <c r="K309" s="39">
        <f t="shared" si="28"/>
        <v>310</v>
      </c>
      <c r="L309" s="38">
        <v>0</v>
      </c>
    </row>
    <row r="310" spans="1:12" customFormat="1" x14ac:dyDescent="0.2">
      <c r="A310" s="299"/>
      <c r="B310" s="49" t="s">
        <v>67</v>
      </c>
      <c r="C310" s="58" t="s">
        <v>232</v>
      </c>
      <c r="D310" s="59" t="s">
        <v>252</v>
      </c>
      <c r="E310" s="306"/>
      <c r="F310" s="162">
        <v>791</v>
      </c>
      <c r="G310" s="303"/>
      <c r="H310" s="162">
        <f t="shared" si="29"/>
        <v>0.39190897597977242</v>
      </c>
      <c r="I310" s="40">
        <v>0</v>
      </c>
      <c r="J310" s="63">
        <f t="shared" si="27"/>
        <v>310</v>
      </c>
      <c r="K310" s="39">
        <f t="shared" si="28"/>
        <v>310</v>
      </c>
      <c r="L310" s="38">
        <v>0</v>
      </c>
    </row>
    <row r="311" spans="1:12" customFormat="1" x14ac:dyDescent="0.2">
      <c r="A311" s="299"/>
      <c r="B311" s="83" t="s">
        <v>67</v>
      </c>
      <c r="C311" s="84" t="s">
        <v>232</v>
      </c>
      <c r="D311" s="85" t="s">
        <v>253</v>
      </c>
      <c r="E311" s="306"/>
      <c r="F311" s="162">
        <v>2058</v>
      </c>
      <c r="G311" s="303"/>
      <c r="H311" s="162">
        <f>I311/F311</f>
        <v>0.24295432458697766</v>
      </c>
      <c r="I311" s="40">
        <v>500</v>
      </c>
      <c r="J311" s="63">
        <f t="shared" si="27"/>
        <v>0</v>
      </c>
      <c r="K311" s="39">
        <f t="shared" si="28"/>
        <v>500</v>
      </c>
      <c r="L311" s="38">
        <v>4</v>
      </c>
    </row>
    <row r="312" spans="1:12" customFormat="1" x14ac:dyDescent="0.2">
      <c r="A312" s="299"/>
      <c r="B312" s="83" t="s">
        <v>67</v>
      </c>
      <c r="C312" s="84" t="s">
        <v>232</v>
      </c>
      <c r="D312" s="85" t="s">
        <v>254</v>
      </c>
      <c r="E312" s="307"/>
      <c r="F312" s="162">
        <v>2138</v>
      </c>
      <c r="G312" s="304"/>
      <c r="H312" s="162">
        <f>I312/F312</f>
        <v>0.21047708138447146</v>
      </c>
      <c r="I312" s="40">
        <v>450</v>
      </c>
      <c r="J312" s="63">
        <f t="shared" si="27"/>
        <v>0</v>
      </c>
      <c r="K312" s="39">
        <f t="shared" si="28"/>
        <v>450</v>
      </c>
      <c r="L312" s="38">
        <v>3</v>
      </c>
    </row>
    <row r="313" spans="1:12" customFormat="1" x14ac:dyDescent="0.2">
      <c r="A313" s="299"/>
      <c r="B313" s="49" t="s">
        <v>67</v>
      </c>
      <c r="C313" s="58" t="s">
        <v>233</v>
      </c>
      <c r="D313" s="59" t="s">
        <v>249</v>
      </c>
      <c r="E313" s="305">
        <v>7541.5747490000003</v>
      </c>
      <c r="F313" s="162">
        <v>521</v>
      </c>
      <c r="G313" s="302">
        <f>SUM(K313:K318)/E313</f>
        <v>0.38983900549283013</v>
      </c>
      <c r="H313" s="162">
        <f t="shared" si="29"/>
        <v>0.5950095969289827</v>
      </c>
      <c r="I313" s="40">
        <v>0</v>
      </c>
      <c r="J313" s="63">
        <f t="shared" si="27"/>
        <v>310</v>
      </c>
      <c r="K313" s="39">
        <f t="shared" si="28"/>
        <v>310</v>
      </c>
      <c r="L313" s="38">
        <v>0</v>
      </c>
    </row>
    <row r="314" spans="1:12" customFormat="1" x14ac:dyDescent="0.2">
      <c r="A314" s="299"/>
      <c r="B314" s="49" t="s">
        <v>67</v>
      </c>
      <c r="C314" s="58" t="s">
        <v>233</v>
      </c>
      <c r="D314" s="59" t="s">
        <v>250</v>
      </c>
      <c r="E314" s="306"/>
      <c r="F314" s="162">
        <v>515</v>
      </c>
      <c r="G314" s="303"/>
      <c r="H314" s="162">
        <f t="shared" si="29"/>
        <v>0.60194174757281549</v>
      </c>
      <c r="I314" s="40">
        <v>0</v>
      </c>
      <c r="J314" s="63">
        <f t="shared" si="27"/>
        <v>310</v>
      </c>
      <c r="K314" s="39">
        <f t="shared" si="28"/>
        <v>310</v>
      </c>
      <c r="L314" s="38">
        <v>0</v>
      </c>
    </row>
    <row r="315" spans="1:12" customFormat="1" x14ac:dyDescent="0.2">
      <c r="A315" s="299"/>
      <c r="B315" s="49" t="s">
        <v>67</v>
      </c>
      <c r="C315" s="58" t="s">
        <v>233</v>
      </c>
      <c r="D315" s="59" t="s">
        <v>251</v>
      </c>
      <c r="E315" s="306"/>
      <c r="F315" s="162">
        <v>473</v>
      </c>
      <c r="G315" s="303"/>
      <c r="H315" s="162">
        <f t="shared" si="29"/>
        <v>0.65539112050739956</v>
      </c>
      <c r="I315" s="40">
        <v>0</v>
      </c>
      <c r="J315" s="63">
        <f t="shared" si="27"/>
        <v>310</v>
      </c>
      <c r="K315" s="39">
        <f t="shared" si="28"/>
        <v>310</v>
      </c>
      <c r="L315" s="38">
        <v>0</v>
      </c>
    </row>
    <row r="316" spans="1:12" customFormat="1" x14ac:dyDescent="0.2">
      <c r="A316" s="299"/>
      <c r="B316" s="49" t="s">
        <v>67</v>
      </c>
      <c r="C316" s="58" t="s">
        <v>233</v>
      </c>
      <c r="D316" s="59" t="s">
        <v>252</v>
      </c>
      <c r="E316" s="306"/>
      <c r="F316" s="162">
        <v>810</v>
      </c>
      <c r="G316" s="303"/>
      <c r="H316" s="162">
        <f t="shared" si="29"/>
        <v>0.38271604938271603</v>
      </c>
      <c r="I316" s="40">
        <v>0</v>
      </c>
      <c r="J316" s="63">
        <f t="shared" si="27"/>
        <v>310</v>
      </c>
      <c r="K316" s="39">
        <f t="shared" si="28"/>
        <v>310</v>
      </c>
      <c r="L316" s="38">
        <v>0</v>
      </c>
    </row>
    <row r="317" spans="1:12" customFormat="1" x14ac:dyDescent="0.2">
      <c r="A317" s="299"/>
      <c r="B317" s="83" t="s">
        <v>67</v>
      </c>
      <c r="C317" s="84" t="s">
        <v>233</v>
      </c>
      <c r="D317" s="85" t="s">
        <v>253</v>
      </c>
      <c r="E317" s="306"/>
      <c r="F317" s="162">
        <v>3375</v>
      </c>
      <c r="G317" s="303"/>
      <c r="H317" s="162">
        <f>I317/F317</f>
        <v>0.38518518518518519</v>
      </c>
      <c r="I317" s="40">
        <v>1300</v>
      </c>
      <c r="J317" s="63">
        <f t="shared" si="27"/>
        <v>0</v>
      </c>
      <c r="K317" s="39">
        <f t="shared" si="28"/>
        <v>1300</v>
      </c>
      <c r="L317" s="38">
        <v>9</v>
      </c>
    </row>
    <row r="318" spans="1:12" customFormat="1" x14ac:dyDescent="0.2">
      <c r="A318" s="299"/>
      <c r="B318" s="83" t="s">
        <v>67</v>
      </c>
      <c r="C318" s="84" t="s">
        <v>233</v>
      </c>
      <c r="D318" s="85" t="s">
        <v>254</v>
      </c>
      <c r="E318" s="307"/>
      <c r="F318" s="162">
        <v>1454</v>
      </c>
      <c r="G318" s="304"/>
      <c r="H318" s="162">
        <f>I318/F318</f>
        <v>0.27510316368638238</v>
      </c>
      <c r="I318" s="40">
        <v>400</v>
      </c>
      <c r="J318" s="63">
        <f t="shared" si="27"/>
        <v>0</v>
      </c>
      <c r="K318" s="39">
        <f t="shared" si="28"/>
        <v>400</v>
      </c>
      <c r="L318" s="38">
        <v>2</v>
      </c>
    </row>
    <row r="319" spans="1:12" customFormat="1" x14ac:dyDescent="0.2">
      <c r="A319" s="299"/>
      <c r="B319" s="49" t="s">
        <v>67</v>
      </c>
      <c r="C319" s="58" t="s">
        <v>234</v>
      </c>
      <c r="D319" s="59" t="s">
        <v>249</v>
      </c>
      <c r="E319" s="305">
        <f>15903.981737+1176.707368</f>
        <v>17080.689105000001</v>
      </c>
      <c r="F319" s="162">
        <v>458</v>
      </c>
      <c r="G319" s="302">
        <f>SUM(K319:K332)/E319</f>
        <v>0.30795010480345603</v>
      </c>
      <c r="H319" s="162">
        <f t="shared" si="29"/>
        <v>0.67685589519650657</v>
      </c>
      <c r="I319" s="40">
        <v>0</v>
      </c>
      <c r="J319" s="63">
        <f t="shared" ref="J319:J382" si="30">K319-I319</f>
        <v>310</v>
      </c>
      <c r="K319" s="39">
        <f t="shared" ref="K319:K382" si="31">F319*H319</f>
        <v>310</v>
      </c>
      <c r="L319" s="38">
        <v>0</v>
      </c>
    </row>
    <row r="320" spans="1:12" customFormat="1" x14ac:dyDescent="0.2">
      <c r="A320" s="299"/>
      <c r="B320" s="49" t="s">
        <v>67</v>
      </c>
      <c r="C320" s="58" t="s">
        <v>234</v>
      </c>
      <c r="D320" s="59" t="s">
        <v>250</v>
      </c>
      <c r="E320" s="306"/>
      <c r="F320" s="162">
        <v>643</v>
      </c>
      <c r="G320" s="303"/>
      <c r="H320" s="162">
        <f t="shared" si="29"/>
        <v>0.48211508553654742</v>
      </c>
      <c r="I320" s="40">
        <v>0</v>
      </c>
      <c r="J320" s="63">
        <f t="shared" si="30"/>
        <v>310</v>
      </c>
      <c r="K320" s="39">
        <f t="shared" si="31"/>
        <v>310</v>
      </c>
      <c r="L320" s="38">
        <v>0</v>
      </c>
    </row>
    <row r="321" spans="1:12" customFormat="1" x14ac:dyDescent="0.2">
      <c r="A321" s="299"/>
      <c r="B321" s="49" t="s">
        <v>67</v>
      </c>
      <c r="C321" s="58" t="s">
        <v>234</v>
      </c>
      <c r="D321" s="59" t="s">
        <v>251</v>
      </c>
      <c r="E321" s="306"/>
      <c r="F321" s="162">
        <v>852</v>
      </c>
      <c r="G321" s="303"/>
      <c r="H321" s="162">
        <f t="shared" si="29"/>
        <v>0.36384976525821594</v>
      </c>
      <c r="I321" s="40">
        <v>0</v>
      </c>
      <c r="J321" s="63">
        <f t="shared" si="30"/>
        <v>310</v>
      </c>
      <c r="K321" s="39">
        <f t="shared" si="31"/>
        <v>310</v>
      </c>
      <c r="L321" s="38">
        <v>0</v>
      </c>
    </row>
    <row r="322" spans="1:12" customFormat="1" x14ac:dyDescent="0.2">
      <c r="A322" s="299"/>
      <c r="B322" s="49" t="s">
        <v>67</v>
      </c>
      <c r="C322" s="58" t="s">
        <v>234</v>
      </c>
      <c r="D322" s="59" t="s">
        <v>252</v>
      </c>
      <c r="E322" s="306"/>
      <c r="F322" s="162">
        <v>864</v>
      </c>
      <c r="G322" s="303"/>
      <c r="H322" s="162">
        <f t="shared" si="29"/>
        <v>0.35879629629629628</v>
      </c>
      <c r="I322" s="40">
        <v>0</v>
      </c>
      <c r="J322" s="63">
        <f t="shared" si="30"/>
        <v>310</v>
      </c>
      <c r="K322" s="39">
        <f t="shared" si="31"/>
        <v>310</v>
      </c>
      <c r="L322" s="38">
        <v>0</v>
      </c>
    </row>
    <row r="323" spans="1:12" customFormat="1" x14ac:dyDescent="0.2">
      <c r="A323" s="299"/>
      <c r="B323" s="49" t="s">
        <v>67</v>
      </c>
      <c r="C323" s="58" t="s">
        <v>234</v>
      </c>
      <c r="D323" s="59" t="s">
        <v>253</v>
      </c>
      <c r="E323" s="306"/>
      <c r="F323" s="162">
        <v>1039</v>
      </c>
      <c r="G323" s="303"/>
      <c r="H323" s="162">
        <f t="shared" si="29"/>
        <v>0.29836381135707413</v>
      </c>
      <c r="I323" s="40">
        <v>0</v>
      </c>
      <c r="J323" s="63">
        <f t="shared" si="30"/>
        <v>310</v>
      </c>
      <c r="K323" s="39">
        <f t="shared" si="31"/>
        <v>310</v>
      </c>
      <c r="L323" s="38">
        <v>0</v>
      </c>
    </row>
    <row r="324" spans="1:12" customFormat="1" x14ac:dyDescent="0.2">
      <c r="A324" s="299"/>
      <c r="B324" s="49" t="s">
        <v>67</v>
      </c>
      <c r="C324" s="58" t="s">
        <v>234</v>
      </c>
      <c r="D324" s="59" t="s">
        <v>254</v>
      </c>
      <c r="E324" s="306"/>
      <c r="F324" s="162">
        <v>971</v>
      </c>
      <c r="G324" s="303"/>
      <c r="H324" s="162">
        <f t="shared" si="29"/>
        <v>0.31925849639546861</v>
      </c>
      <c r="I324" s="40">
        <v>0</v>
      </c>
      <c r="J324" s="63">
        <f t="shared" si="30"/>
        <v>310</v>
      </c>
      <c r="K324" s="39">
        <f t="shared" si="31"/>
        <v>310</v>
      </c>
      <c r="L324" s="38">
        <v>0</v>
      </c>
    </row>
    <row r="325" spans="1:12" customFormat="1" x14ac:dyDescent="0.2">
      <c r="A325" s="299"/>
      <c r="B325" s="49" t="s">
        <v>67</v>
      </c>
      <c r="C325" s="58" t="s">
        <v>234</v>
      </c>
      <c r="D325" s="59" t="s">
        <v>255</v>
      </c>
      <c r="E325" s="306"/>
      <c r="F325" s="162">
        <v>1122</v>
      </c>
      <c r="G325" s="303"/>
      <c r="H325" s="162">
        <f t="shared" si="29"/>
        <v>0.27629233511586454</v>
      </c>
      <c r="I325" s="40">
        <v>0</v>
      </c>
      <c r="J325" s="63">
        <f t="shared" si="30"/>
        <v>310</v>
      </c>
      <c r="K325" s="39">
        <f t="shared" si="31"/>
        <v>310</v>
      </c>
      <c r="L325" s="38">
        <v>0</v>
      </c>
    </row>
    <row r="326" spans="1:12" customFormat="1" x14ac:dyDescent="0.2">
      <c r="A326" s="299"/>
      <c r="B326" s="49" t="s">
        <v>67</v>
      </c>
      <c r="C326" s="58" t="s">
        <v>234</v>
      </c>
      <c r="D326" s="59" t="s">
        <v>256</v>
      </c>
      <c r="E326" s="306"/>
      <c r="F326" s="162">
        <v>552</v>
      </c>
      <c r="G326" s="303"/>
      <c r="H326" s="162">
        <f t="shared" si="29"/>
        <v>0.56159420289855078</v>
      </c>
      <c r="I326" s="40">
        <v>0</v>
      </c>
      <c r="J326" s="63">
        <f t="shared" si="30"/>
        <v>310</v>
      </c>
      <c r="K326" s="39">
        <f t="shared" si="31"/>
        <v>310</v>
      </c>
      <c r="L326" s="38">
        <v>0</v>
      </c>
    </row>
    <row r="327" spans="1:12" customFormat="1" x14ac:dyDescent="0.2">
      <c r="A327" s="299"/>
      <c r="B327" s="49" t="s">
        <v>67</v>
      </c>
      <c r="C327" s="58" t="s">
        <v>234</v>
      </c>
      <c r="D327" s="59" t="s">
        <v>257</v>
      </c>
      <c r="E327" s="306"/>
      <c r="F327" s="162">
        <v>613</v>
      </c>
      <c r="G327" s="303"/>
      <c r="H327" s="162">
        <f t="shared" si="29"/>
        <v>0.50570962479608483</v>
      </c>
      <c r="I327" s="40">
        <v>0</v>
      </c>
      <c r="J327" s="63">
        <f t="shared" si="30"/>
        <v>310</v>
      </c>
      <c r="K327" s="39">
        <f t="shared" si="31"/>
        <v>310</v>
      </c>
      <c r="L327" s="38">
        <v>0</v>
      </c>
    </row>
    <row r="328" spans="1:12" customFormat="1" x14ac:dyDescent="0.2">
      <c r="A328" s="299"/>
      <c r="B328" s="49" t="s">
        <v>67</v>
      </c>
      <c r="C328" s="58" t="s">
        <v>234</v>
      </c>
      <c r="D328" s="59" t="s">
        <v>258</v>
      </c>
      <c r="E328" s="306"/>
      <c r="F328" s="162">
        <v>901</v>
      </c>
      <c r="G328" s="303"/>
      <c r="H328" s="162">
        <f t="shared" si="29"/>
        <v>0.34406215316315203</v>
      </c>
      <c r="I328" s="40">
        <v>0</v>
      </c>
      <c r="J328" s="63">
        <f t="shared" si="30"/>
        <v>310</v>
      </c>
      <c r="K328" s="39">
        <f t="shared" si="31"/>
        <v>310</v>
      </c>
      <c r="L328" s="38">
        <v>0</v>
      </c>
    </row>
    <row r="329" spans="1:12" customFormat="1" x14ac:dyDescent="0.2">
      <c r="A329" s="299"/>
      <c r="B329" s="49" t="s">
        <v>67</v>
      </c>
      <c r="C329" s="58" t="s">
        <v>234</v>
      </c>
      <c r="D329" s="59" t="s">
        <v>259</v>
      </c>
      <c r="E329" s="306"/>
      <c r="F329" s="162">
        <v>1521</v>
      </c>
      <c r="G329" s="303"/>
      <c r="H329" s="162">
        <f t="shared" si="29"/>
        <v>0.20381328073635765</v>
      </c>
      <c r="I329" s="40">
        <v>0</v>
      </c>
      <c r="J329" s="63">
        <f t="shared" si="30"/>
        <v>310</v>
      </c>
      <c r="K329" s="39">
        <f t="shared" si="31"/>
        <v>310</v>
      </c>
      <c r="L329" s="38">
        <v>0</v>
      </c>
    </row>
    <row r="330" spans="1:12" customFormat="1" x14ac:dyDescent="0.2">
      <c r="A330" s="299"/>
      <c r="B330" s="83" t="s">
        <v>67</v>
      </c>
      <c r="C330" s="84" t="s">
        <v>234</v>
      </c>
      <c r="D330" s="85" t="s">
        <v>260</v>
      </c>
      <c r="E330" s="306"/>
      <c r="F330" s="162">
        <v>1773</v>
      </c>
      <c r="G330" s="303"/>
      <c r="H330" s="162">
        <f>I330/F330</f>
        <v>0.28200789622109418</v>
      </c>
      <c r="I330" s="40">
        <v>500</v>
      </c>
      <c r="J330" s="63">
        <f t="shared" si="30"/>
        <v>0</v>
      </c>
      <c r="K330" s="39">
        <f t="shared" si="31"/>
        <v>500</v>
      </c>
      <c r="L330" s="38">
        <v>4</v>
      </c>
    </row>
    <row r="331" spans="1:12" customFormat="1" x14ac:dyDescent="0.2">
      <c r="A331" s="299"/>
      <c r="B331" s="83" t="s">
        <v>67</v>
      </c>
      <c r="C331" s="84" t="s">
        <v>234</v>
      </c>
      <c r="D331" s="85" t="s">
        <v>261</v>
      </c>
      <c r="E331" s="306"/>
      <c r="F331" s="162">
        <v>1948</v>
      </c>
      <c r="G331" s="303"/>
      <c r="H331" s="162">
        <f>I331/F331</f>
        <v>0.28234086242299794</v>
      </c>
      <c r="I331" s="40">
        <v>550</v>
      </c>
      <c r="J331" s="63">
        <f t="shared" si="30"/>
        <v>0</v>
      </c>
      <c r="K331" s="39">
        <f t="shared" si="31"/>
        <v>550</v>
      </c>
      <c r="L331" s="38">
        <v>4</v>
      </c>
    </row>
    <row r="332" spans="1:12" customFormat="1" x14ac:dyDescent="0.2">
      <c r="A332" s="299"/>
      <c r="B332" s="83" t="s">
        <v>67</v>
      </c>
      <c r="C332" s="84" t="s">
        <v>234</v>
      </c>
      <c r="D332" s="85" t="s">
        <v>510</v>
      </c>
      <c r="E332" s="307"/>
      <c r="F332" s="162">
        <v>2083</v>
      </c>
      <c r="G332" s="304"/>
      <c r="H332" s="162">
        <f>I332/F332</f>
        <v>0.3840614498319731</v>
      </c>
      <c r="I332" s="40">
        <v>800</v>
      </c>
      <c r="J332" s="63">
        <f t="shared" si="30"/>
        <v>0</v>
      </c>
      <c r="K332" s="39">
        <f t="shared" si="31"/>
        <v>800</v>
      </c>
      <c r="L332" s="38">
        <v>5</v>
      </c>
    </row>
    <row r="333" spans="1:12" customFormat="1" x14ac:dyDescent="0.2">
      <c r="A333" s="299"/>
      <c r="B333" s="49" t="s">
        <v>67</v>
      </c>
      <c r="C333" s="58" t="s">
        <v>235</v>
      </c>
      <c r="D333" s="59" t="s">
        <v>249</v>
      </c>
      <c r="E333" s="305">
        <v>24682.738442999998</v>
      </c>
      <c r="F333" s="162">
        <v>767</v>
      </c>
      <c r="G333" s="302">
        <f>SUM(K333:K350)/E333</f>
        <v>0.26455735513625322</v>
      </c>
      <c r="H333" s="162">
        <f t="shared" si="29"/>
        <v>0.4041720990873533</v>
      </c>
      <c r="I333" s="40">
        <v>0</v>
      </c>
      <c r="J333" s="63">
        <f t="shared" si="30"/>
        <v>310</v>
      </c>
      <c r="K333" s="39">
        <f t="shared" si="31"/>
        <v>310</v>
      </c>
      <c r="L333" s="38">
        <v>0</v>
      </c>
    </row>
    <row r="334" spans="1:12" customFormat="1" x14ac:dyDescent="0.2">
      <c r="A334" s="299"/>
      <c r="B334" s="49" t="s">
        <v>67</v>
      </c>
      <c r="C334" s="58" t="s">
        <v>235</v>
      </c>
      <c r="D334" s="59" t="s">
        <v>250</v>
      </c>
      <c r="E334" s="306"/>
      <c r="F334" s="162">
        <v>676</v>
      </c>
      <c r="G334" s="303"/>
      <c r="H334" s="162">
        <f t="shared" si="29"/>
        <v>0.45857988165680474</v>
      </c>
      <c r="I334" s="40">
        <v>0</v>
      </c>
      <c r="J334" s="63">
        <f t="shared" si="30"/>
        <v>310</v>
      </c>
      <c r="K334" s="39">
        <f t="shared" si="31"/>
        <v>310</v>
      </c>
      <c r="L334" s="38">
        <v>0</v>
      </c>
    </row>
    <row r="335" spans="1:12" customFormat="1" x14ac:dyDescent="0.2">
      <c r="A335" s="299"/>
      <c r="B335" s="49" t="s">
        <v>67</v>
      </c>
      <c r="C335" s="58" t="s">
        <v>235</v>
      </c>
      <c r="D335" s="59" t="s">
        <v>251</v>
      </c>
      <c r="E335" s="306"/>
      <c r="F335" s="162">
        <v>2343</v>
      </c>
      <c r="G335" s="303"/>
      <c r="H335" s="162">
        <f t="shared" si="29"/>
        <v>0.13230900554844216</v>
      </c>
      <c r="I335" s="40">
        <v>0</v>
      </c>
      <c r="J335" s="63">
        <f t="shared" si="30"/>
        <v>310</v>
      </c>
      <c r="K335" s="39">
        <f t="shared" si="31"/>
        <v>310</v>
      </c>
      <c r="L335" s="38">
        <v>0</v>
      </c>
    </row>
    <row r="336" spans="1:12" customFormat="1" x14ac:dyDescent="0.2">
      <c r="A336" s="299"/>
      <c r="B336" s="49" t="s">
        <v>67</v>
      </c>
      <c r="C336" s="58" t="s">
        <v>235</v>
      </c>
      <c r="D336" s="59" t="s">
        <v>252</v>
      </c>
      <c r="E336" s="306"/>
      <c r="F336" s="162">
        <v>2123</v>
      </c>
      <c r="G336" s="303"/>
      <c r="H336" s="162">
        <f t="shared" si="29"/>
        <v>0.14601978332548279</v>
      </c>
      <c r="I336" s="40">
        <v>0</v>
      </c>
      <c r="J336" s="63">
        <f t="shared" si="30"/>
        <v>309.99999999999994</v>
      </c>
      <c r="K336" s="39">
        <f t="shared" si="31"/>
        <v>309.99999999999994</v>
      </c>
      <c r="L336" s="38">
        <v>0</v>
      </c>
    </row>
    <row r="337" spans="1:12" customFormat="1" x14ac:dyDescent="0.2">
      <c r="A337" s="299"/>
      <c r="B337" s="49" t="s">
        <v>67</v>
      </c>
      <c r="C337" s="58" t="s">
        <v>235</v>
      </c>
      <c r="D337" s="59" t="s">
        <v>253</v>
      </c>
      <c r="E337" s="306"/>
      <c r="F337" s="162">
        <v>652</v>
      </c>
      <c r="G337" s="303"/>
      <c r="H337" s="162">
        <f t="shared" si="29"/>
        <v>0.47546012269938648</v>
      </c>
      <c r="I337" s="40">
        <v>0</v>
      </c>
      <c r="J337" s="63">
        <f t="shared" si="30"/>
        <v>310</v>
      </c>
      <c r="K337" s="39">
        <f t="shared" si="31"/>
        <v>310</v>
      </c>
      <c r="L337" s="38">
        <v>0</v>
      </c>
    </row>
    <row r="338" spans="1:12" customFormat="1" x14ac:dyDescent="0.2">
      <c r="A338" s="299"/>
      <c r="B338" s="49" t="s">
        <v>67</v>
      </c>
      <c r="C338" s="58" t="s">
        <v>235</v>
      </c>
      <c r="D338" s="59" t="s">
        <v>254</v>
      </c>
      <c r="E338" s="306"/>
      <c r="F338" s="162">
        <v>639</v>
      </c>
      <c r="G338" s="303"/>
      <c r="H338" s="162">
        <f t="shared" si="29"/>
        <v>0.48513302034428796</v>
      </c>
      <c r="I338" s="40">
        <v>0</v>
      </c>
      <c r="J338" s="63">
        <f t="shared" si="30"/>
        <v>310</v>
      </c>
      <c r="K338" s="39">
        <f t="shared" si="31"/>
        <v>310</v>
      </c>
      <c r="L338" s="38">
        <v>0</v>
      </c>
    </row>
    <row r="339" spans="1:12" customFormat="1" x14ac:dyDescent="0.2">
      <c r="A339" s="299"/>
      <c r="B339" s="49" t="s">
        <v>67</v>
      </c>
      <c r="C339" s="58" t="s">
        <v>235</v>
      </c>
      <c r="D339" s="59" t="s">
        <v>255</v>
      </c>
      <c r="E339" s="306"/>
      <c r="F339" s="162">
        <v>375</v>
      </c>
      <c r="G339" s="303"/>
      <c r="H339" s="162">
        <f t="shared" si="29"/>
        <v>0.82666666666666666</v>
      </c>
      <c r="I339" s="40">
        <v>0</v>
      </c>
      <c r="J339" s="63">
        <f t="shared" si="30"/>
        <v>310</v>
      </c>
      <c r="K339" s="39">
        <f t="shared" si="31"/>
        <v>310</v>
      </c>
      <c r="L339" s="38">
        <v>0</v>
      </c>
    </row>
    <row r="340" spans="1:12" customFormat="1" x14ac:dyDescent="0.2">
      <c r="A340" s="299"/>
      <c r="B340" s="49" t="s">
        <v>67</v>
      </c>
      <c r="C340" s="58" t="s">
        <v>235</v>
      </c>
      <c r="D340" s="59" t="s">
        <v>256</v>
      </c>
      <c r="E340" s="306"/>
      <c r="F340" s="162">
        <v>802</v>
      </c>
      <c r="G340" s="303"/>
      <c r="H340" s="162">
        <f t="shared" si="29"/>
        <v>0.38653366583541149</v>
      </c>
      <c r="I340" s="40">
        <v>0</v>
      </c>
      <c r="J340" s="63">
        <f t="shared" si="30"/>
        <v>310</v>
      </c>
      <c r="K340" s="39">
        <f t="shared" si="31"/>
        <v>310</v>
      </c>
      <c r="L340" s="38">
        <v>0</v>
      </c>
    </row>
    <row r="341" spans="1:12" customFormat="1" x14ac:dyDescent="0.2">
      <c r="A341" s="299"/>
      <c r="B341" s="49" t="s">
        <v>67</v>
      </c>
      <c r="C341" s="58" t="s">
        <v>235</v>
      </c>
      <c r="D341" s="59" t="s">
        <v>257</v>
      </c>
      <c r="E341" s="306"/>
      <c r="F341" s="162">
        <v>824</v>
      </c>
      <c r="G341" s="303"/>
      <c r="H341" s="162">
        <f t="shared" si="29"/>
        <v>0.37621359223300971</v>
      </c>
      <c r="I341" s="40">
        <v>0</v>
      </c>
      <c r="J341" s="63">
        <f t="shared" si="30"/>
        <v>310</v>
      </c>
      <c r="K341" s="39">
        <f t="shared" si="31"/>
        <v>310</v>
      </c>
      <c r="L341" s="38">
        <v>0</v>
      </c>
    </row>
    <row r="342" spans="1:12" customFormat="1" x14ac:dyDescent="0.2">
      <c r="A342" s="299"/>
      <c r="B342" s="49" t="s">
        <v>67</v>
      </c>
      <c r="C342" s="58" t="s">
        <v>235</v>
      </c>
      <c r="D342" s="59" t="s">
        <v>258</v>
      </c>
      <c r="E342" s="306"/>
      <c r="F342" s="162">
        <v>1231</v>
      </c>
      <c r="G342" s="303"/>
      <c r="H342" s="162">
        <f t="shared" si="29"/>
        <v>0.25182778229082048</v>
      </c>
      <c r="I342" s="40">
        <v>0</v>
      </c>
      <c r="J342" s="63">
        <f t="shared" si="30"/>
        <v>310</v>
      </c>
      <c r="K342" s="39">
        <f t="shared" si="31"/>
        <v>310</v>
      </c>
      <c r="L342" s="38">
        <v>0</v>
      </c>
    </row>
    <row r="343" spans="1:12" customFormat="1" x14ac:dyDescent="0.2">
      <c r="A343" s="299"/>
      <c r="B343" s="49" t="s">
        <v>67</v>
      </c>
      <c r="C343" s="58" t="s">
        <v>235</v>
      </c>
      <c r="D343" s="59" t="s">
        <v>259</v>
      </c>
      <c r="E343" s="306"/>
      <c r="F343" s="162">
        <v>522</v>
      </c>
      <c r="G343" s="303"/>
      <c r="H343" s="162">
        <f t="shared" si="29"/>
        <v>0.5938697318007663</v>
      </c>
      <c r="I343" s="40">
        <v>0</v>
      </c>
      <c r="J343" s="63">
        <f t="shared" si="30"/>
        <v>310</v>
      </c>
      <c r="K343" s="39">
        <f t="shared" si="31"/>
        <v>310</v>
      </c>
      <c r="L343" s="38">
        <v>0</v>
      </c>
    </row>
    <row r="344" spans="1:12" customFormat="1" x14ac:dyDescent="0.2">
      <c r="A344" s="299"/>
      <c r="B344" s="49" t="s">
        <v>67</v>
      </c>
      <c r="C344" s="58" t="s">
        <v>235</v>
      </c>
      <c r="D344" s="59" t="s">
        <v>260</v>
      </c>
      <c r="E344" s="306"/>
      <c r="F344" s="162">
        <v>1097</v>
      </c>
      <c r="G344" s="303"/>
      <c r="H344" s="162">
        <f t="shared" si="29"/>
        <v>0.28258887876025524</v>
      </c>
      <c r="I344" s="40">
        <v>0</v>
      </c>
      <c r="J344" s="63">
        <f t="shared" si="30"/>
        <v>310</v>
      </c>
      <c r="K344" s="39">
        <f t="shared" si="31"/>
        <v>310</v>
      </c>
      <c r="L344" s="38">
        <v>0</v>
      </c>
    </row>
    <row r="345" spans="1:12" customFormat="1" x14ac:dyDescent="0.2">
      <c r="A345" s="299"/>
      <c r="B345" s="49" t="s">
        <v>67</v>
      </c>
      <c r="C345" s="58" t="s">
        <v>235</v>
      </c>
      <c r="D345" s="59" t="s">
        <v>261</v>
      </c>
      <c r="E345" s="306"/>
      <c r="F345" s="162">
        <v>1610</v>
      </c>
      <c r="G345" s="303"/>
      <c r="H345" s="162">
        <f t="shared" si="29"/>
        <v>0.19254658385093168</v>
      </c>
      <c r="I345" s="40">
        <v>0</v>
      </c>
      <c r="J345" s="63">
        <f t="shared" si="30"/>
        <v>310</v>
      </c>
      <c r="K345" s="39">
        <f t="shared" si="31"/>
        <v>310</v>
      </c>
      <c r="L345" s="38">
        <v>0</v>
      </c>
    </row>
    <row r="346" spans="1:12" customFormat="1" x14ac:dyDescent="0.2">
      <c r="A346" s="299"/>
      <c r="B346" s="83" t="s">
        <v>67</v>
      </c>
      <c r="C346" s="84" t="s">
        <v>235</v>
      </c>
      <c r="D346" s="85" t="s">
        <v>510</v>
      </c>
      <c r="E346" s="306"/>
      <c r="F346" s="162">
        <v>1589</v>
      </c>
      <c r="G346" s="303"/>
      <c r="H346" s="162">
        <f>I346/F346</f>
        <v>0.25173064820641911</v>
      </c>
      <c r="I346" s="40">
        <v>400</v>
      </c>
      <c r="J346" s="63">
        <f t="shared" si="30"/>
        <v>0</v>
      </c>
      <c r="K346" s="39">
        <f t="shared" si="31"/>
        <v>399.99999999999994</v>
      </c>
      <c r="L346" s="38">
        <v>3</v>
      </c>
    </row>
    <row r="347" spans="1:12" customFormat="1" x14ac:dyDescent="0.2">
      <c r="A347" s="299"/>
      <c r="B347" s="83" t="s">
        <v>67</v>
      </c>
      <c r="C347" s="84" t="s">
        <v>235</v>
      </c>
      <c r="D347" s="85" t="s">
        <v>511</v>
      </c>
      <c r="E347" s="306"/>
      <c r="F347" s="162">
        <v>3926</v>
      </c>
      <c r="G347" s="303"/>
      <c r="H347" s="162">
        <f>I347/F347</f>
        <v>0.20376974019358127</v>
      </c>
      <c r="I347" s="40">
        <v>800</v>
      </c>
      <c r="J347" s="63">
        <f t="shared" si="30"/>
        <v>0</v>
      </c>
      <c r="K347" s="39">
        <f t="shared" si="31"/>
        <v>800</v>
      </c>
      <c r="L347" s="38">
        <v>5</v>
      </c>
    </row>
    <row r="348" spans="1:12" customFormat="1" x14ac:dyDescent="0.2">
      <c r="A348" s="299"/>
      <c r="B348" s="83" t="s">
        <v>67</v>
      </c>
      <c r="C348" s="84" t="s">
        <v>235</v>
      </c>
      <c r="D348" s="85" t="s">
        <v>512</v>
      </c>
      <c r="E348" s="306"/>
      <c r="F348" s="162">
        <v>745</v>
      </c>
      <c r="G348" s="303"/>
      <c r="H348" s="162">
        <f>I348/F348</f>
        <v>0.40268456375838924</v>
      </c>
      <c r="I348" s="40">
        <v>300</v>
      </c>
      <c r="J348" s="63">
        <f t="shared" si="30"/>
        <v>0</v>
      </c>
      <c r="K348" s="39">
        <f t="shared" si="31"/>
        <v>300</v>
      </c>
      <c r="L348" s="38">
        <v>4</v>
      </c>
    </row>
    <row r="349" spans="1:12" customFormat="1" x14ac:dyDescent="0.2">
      <c r="A349" s="299"/>
      <c r="B349" s="83" t="s">
        <v>67</v>
      </c>
      <c r="C349" s="84" t="s">
        <v>235</v>
      </c>
      <c r="D349" s="85" t="s">
        <v>513</v>
      </c>
      <c r="E349" s="306"/>
      <c r="F349" s="162">
        <v>1130</v>
      </c>
      <c r="G349" s="303"/>
      <c r="H349" s="162">
        <f>I349/F349</f>
        <v>0.26548672566371684</v>
      </c>
      <c r="I349" s="40">
        <v>300</v>
      </c>
      <c r="J349" s="63">
        <f t="shared" si="30"/>
        <v>0</v>
      </c>
      <c r="K349" s="39">
        <f t="shared" si="31"/>
        <v>300</v>
      </c>
      <c r="L349" s="38">
        <v>4</v>
      </c>
    </row>
    <row r="350" spans="1:12" customFormat="1" x14ac:dyDescent="0.2">
      <c r="A350" s="299"/>
      <c r="B350" s="83" t="s">
        <v>67</v>
      </c>
      <c r="C350" s="84" t="s">
        <v>235</v>
      </c>
      <c r="D350" s="85" t="s">
        <v>514</v>
      </c>
      <c r="E350" s="307"/>
      <c r="F350" s="162">
        <v>2315</v>
      </c>
      <c r="G350" s="304"/>
      <c r="H350" s="162">
        <f>I350/F350</f>
        <v>0.30237580993520519</v>
      </c>
      <c r="I350" s="40">
        <v>700</v>
      </c>
      <c r="J350" s="63">
        <f t="shared" si="30"/>
        <v>0</v>
      </c>
      <c r="K350" s="39">
        <f t="shared" si="31"/>
        <v>700</v>
      </c>
      <c r="L350" s="38">
        <v>5</v>
      </c>
    </row>
    <row r="351" spans="1:12" customFormat="1" x14ac:dyDescent="0.2">
      <c r="A351" s="299"/>
      <c r="B351" s="49" t="s">
        <v>67</v>
      </c>
      <c r="C351" s="58" t="s">
        <v>236</v>
      </c>
      <c r="D351" s="59" t="s">
        <v>249</v>
      </c>
      <c r="E351" s="305">
        <v>17443.492302999999</v>
      </c>
      <c r="F351" s="162">
        <v>988</v>
      </c>
      <c r="G351" s="302">
        <f>SUM(K351:K359)/E351</f>
        <v>0.30727791814246774</v>
      </c>
      <c r="H351" s="162">
        <f t="shared" ref="H351:H425" si="32">310/F351</f>
        <v>0.31376518218623484</v>
      </c>
      <c r="I351" s="40">
        <v>0</v>
      </c>
      <c r="J351" s="63">
        <f t="shared" si="30"/>
        <v>310</v>
      </c>
      <c r="K351" s="39">
        <f t="shared" si="31"/>
        <v>310</v>
      </c>
      <c r="L351" s="38">
        <v>0</v>
      </c>
    </row>
    <row r="352" spans="1:12" customFormat="1" x14ac:dyDescent="0.2">
      <c r="A352" s="299"/>
      <c r="B352" s="49" t="s">
        <v>67</v>
      </c>
      <c r="C352" s="58" t="s">
        <v>236</v>
      </c>
      <c r="D352" s="59" t="s">
        <v>250</v>
      </c>
      <c r="E352" s="306"/>
      <c r="F352" s="162">
        <v>563</v>
      </c>
      <c r="G352" s="303"/>
      <c r="H352" s="162">
        <f t="shared" si="32"/>
        <v>0.55062166962699821</v>
      </c>
      <c r="I352" s="40">
        <v>0</v>
      </c>
      <c r="J352" s="63">
        <f t="shared" si="30"/>
        <v>310</v>
      </c>
      <c r="K352" s="39">
        <f t="shared" si="31"/>
        <v>310</v>
      </c>
      <c r="L352" s="38">
        <v>0</v>
      </c>
    </row>
    <row r="353" spans="1:12" customFormat="1" x14ac:dyDescent="0.2">
      <c r="A353" s="299"/>
      <c r="B353" s="49" t="s">
        <v>67</v>
      </c>
      <c r="C353" s="58" t="s">
        <v>236</v>
      </c>
      <c r="D353" s="59" t="s">
        <v>251</v>
      </c>
      <c r="E353" s="306"/>
      <c r="F353" s="162">
        <v>1481</v>
      </c>
      <c r="G353" s="303"/>
      <c r="H353" s="162">
        <f t="shared" si="32"/>
        <v>0.20931802835921676</v>
      </c>
      <c r="I353" s="40">
        <v>0</v>
      </c>
      <c r="J353" s="63">
        <f t="shared" si="30"/>
        <v>310</v>
      </c>
      <c r="K353" s="39">
        <f t="shared" si="31"/>
        <v>310</v>
      </c>
      <c r="L353" s="38">
        <v>0</v>
      </c>
    </row>
    <row r="354" spans="1:12" customFormat="1" x14ac:dyDescent="0.2">
      <c r="A354" s="299"/>
      <c r="B354" s="49" t="s">
        <v>67</v>
      </c>
      <c r="C354" s="58" t="s">
        <v>236</v>
      </c>
      <c r="D354" s="59" t="s">
        <v>252</v>
      </c>
      <c r="E354" s="306"/>
      <c r="F354" s="162">
        <v>589</v>
      </c>
      <c r="G354" s="303"/>
      <c r="H354" s="162">
        <f t="shared" si="32"/>
        <v>0.52631578947368418</v>
      </c>
      <c r="I354" s="40">
        <v>0</v>
      </c>
      <c r="J354" s="63">
        <f t="shared" si="30"/>
        <v>310</v>
      </c>
      <c r="K354" s="39">
        <f t="shared" si="31"/>
        <v>310</v>
      </c>
      <c r="L354" s="38">
        <v>0</v>
      </c>
    </row>
    <row r="355" spans="1:12" customFormat="1" x14ac:dyDescent="0.2">
      <c r="A355" s="299"/>
      <c r="B355" s="49" t="s">
        <v>67</v>
      </c>
      <c r="C355" s="58" t="s">
        <v>236</v>
      </c>
      <c r="D355" s="59" t="s">
        <v>253</v>
      </c>
      <c r="E355" s="306"/>
      <c r="F355" s="162">
        <v>756</v>
      </c>
      <c r="G355" s="303"/>
      <c r="H355" s="162">
        <f t="shared" si="32"/>
        <v>0.41005291005291006</v>
      </c>
      <c r="I355" s="40">
        <v>0</v>
      </c>
      <c r="J355" s="63">
        <f t="shared" si="30"/>
        <v>310</v>
      </c>
      <c r="K355" s="39">
        <f t="shared" si="31"/>
        <v>310</v>
      </c>
      <c r="L355" s="38">
        <v>0</v>
      </c>
    </row>
    <row r="356" spans="1:12" customFormat="1" x14ac:dyDescent="0.2">
      <c r="A356" s="299"/>
      <c r="B356" s="49" t="s">
        <v>67</v>
      </c>
      <c r="C356" s="58" t="s">
        <v>236</v>
      </c>
      <c r="D356" s="59" t="s">
        <v>254</v>
      </c>
      <c r="E356" s="306"/>
      <c r="F356" s="162">
        <v>765</v>
      </c>
      <c r="G356" s="303"/>
      <c r="H356" s="162">
        <f t="shared" si="32"/>
        <v>0.40522875816993464</v>
      </c>
      <c r="I356" s="40">
        <v>0</v>
      </c>
      <c r="J356" s="63">
        <f t="shared" si="30"/>
        <v>310</v>
      </c>
      <c r="K356" s="39">
        <f t="shared" si="31"/>
        <v>310</v>
      </c>
      <c r="L356" s="38">
        <v>0</v>
      </c>
    </row>
    <row r="357" spans="1:12" customFormat="1" x14ac:dyDescent="0.2">
      <c r="A357" s="299"/>
      <c r="B357" s="83" t="s">
        <v>67</v>
      </c>
      <c r="C357" s="84" t="s">
        <v>236</v>
      </c>
      <c r="D357" s="85" t="s">
        <v>255</v>
      </c>
      <c r="E357" s="306"/>
      <c r="F357" s="162">
        <v>536</v>
      </c>
      <c r="G357" s="303"/>
      <c r="H357" s="162">
        <f>I357/F357</f>
        <v>0.37313432835820898</v>
      </c>
      <c r="I357" s="40">
        <v>200</v>
      </c>
      <c r="J357" s="63">
        <f t="shared" si="30"/>
        <v>0</v>
      </c>
      <c r="K357" s="39">
        <f t="shared" si="31"/>
        <v>200</v>
      </c>
      <c r="L357" s="38">
        <v>2</v>
      </c>
    </row>
    <row r="358" spans="1:12" customFormat="1" x14ac:dyDescent="0.2">
      <c r="A358" s="299"/>
      <c r="B358" s="83" t="s">
        <v>67</v>
      </c>
      <c r="C358" s="84" t="s">
        <v>236</v>
      </c>
      <c r="D358" s="85" t="s">
        <v>256</v>
      </c>
      <c r="E358" s="306"/>
      <c r="F358" s="162">
        <v>9313</v>
      </c>
      <c r="G358" s="303"/>
      <c r="H358" s="162">
        <f>I358/F358</f>
        <v>0.21475357027810588</v>
      </c>
      <c r="I358" s="40">
        <v>2000</v>
      </c>
      <c r="J358" s="63">
        <f t="shared" si="30"/>
        <v>0</v>
      </c>
      <c r="K358" s="39">
        <f t="shared" si="31"/>
        <v>2000</v>
      </c>
      <c r="L358" s="38">
        <v>14</v>
      </c>
    </row>
    <row r="359" spans="1:12" customFormat="1" x14ac:dyDescent="0.2">
      <c r="A359" s="299"/>
      <c r="B359" s="83" t="s">
        <v>67</v>
      </c>
      <c r="C359" s="84" t="s">
        <v>236</v>
      </c>
      <c r="D359" s="85" t="s">
        <v>257</v>
      </c>
      <c r="E359" s="307"/>
      <c r="F359" s="162">
        <v>3144</v>
      </c>
      <c r="G359" s="304"/>
      <c r="H359" s="162">
        <f>I359/F359</f>
        <v>0.41348600508905853</v>
      </c>
      <c r="I359" s="40">
        <v>1300</v>
      </c>
      <c r="J359" s="63">
        <f t="shared" si="30"/>
        <v>0</v>
      </c>
      <c r="K359" s="39">
        <f t="shared" si="31"/>
        <v>1300</v>
      </c>
      <c r="L359" s="38">
        <v>12</v>
      </c>
    </row>
    <row r="360" spans="1:12" customFormat="1" x14ac:dyDescent="0.2">
      <c r="A360" s="299"/>
      <c r="B360" s="49" t="s">
        <v>67</v>
      </c>
      <c r="C360" s="58" t="s">
        <v>246</v>
      </c>
      <c r="D360" s="59" t="s">
        <v>249</v>
      </c>
      <c r="E360" s="305">
        <f>12356.93052+3852.304729</f>
        <v>16209.235248999999</v>
      </c>
      <c r="F360" s="162">
        <v>1593</v>
      </c>
      <c r="G360" s="302">
        <f>SUM(K360:K370)/E360</f>
        <v>0.34980058669638969</v>
      </c>
      <c r="H360" s="162">
        <f t="shared" si="32"/>
        <v>0.19460138104205901</v>
      </c>
      <c r="I360" s="40">
        <v>0</v>
      </c>
      <c r="J360" s="63">
        <f t="shared" si="30"/>
        <v>310</v>
      </c>
      <c r="K360" s="39">
        <f t="shared" si="31"/>
        <v>310</v>
      </c>
      <c r="L360" s="38">
        <v>0</v>
      </c>
    </row>
    <row r="361" spans="1:12" customFormat="1" x14ac:dyDescent="0.2">
      <c r="A361" s="299"/>
      <c r="B361" s="49" t="s">
        <v>67</v>
      </c>
      <c r="C361" s="58" t="s">
        <v>246</v>
      </c>
      <c r="D361" s="59" t="s">
        <v>250</v>
      </c>
      <c r="E361" s="306"/>
      <c r="F361" s="162">
        <v>832</v>
      </c>
      <c r="G361" s="303"/>
      <c r="H361" s="162">
        <f t="shared" si="32"/>
        <v>0.37259615384615385</v>
      </c>
      <c r="I361" s="40">
        <v>0</v>
      </c>
      <c r="J361" s="63">
        <f t="shared" si="30"/>
        <v>310</v>
      </c>
      <c r="K361" s="39">
        <f t="shared" si="31"/>
        <v>310</v>
      </c>
      <c r="L361" s="38">
        <v>0</v>
      </c>
    </row>
    <row r="362" spans="1:12" customFormat="1" x14ac:dyDescent="0.2">
      <c r="A362" s="299"/>
      <c r="B362" s="49" t="s">
        <v>67</v>
      </c>
      <c r="C362" s="58" t="s">
        <v>246</v>
      </c>
      <c r="D362" s="59" t="s">
        <v>251</v>
      </c>
      <c r="E362" s="306"/>
      <c r="F362" s="162">
        <v>1412</v>
      </c>
      <c r="G362" s="303"/>
      <c r="H362" s="162">
        <f t="shared" si="32"/>
        <v>0.21954674220963172</v>
      </c>
      <c r="I362" s="40">
        <v>0</v>
      </c>
      <c r="J362" s="63">
        <f t="shared" si="30"/>
        <v>310</v>
      </c>
      <c r="K362" s="39">
        <f t="shared" si="31"/>
        <v>310</v>
      </c>
      <c r="L362" s="38">
        <v>0</v>
      </c>
    </row>
    <row r="363" spans="1:12" customFormat="1" x14ac:dyDescent="0.2">
      <c r="A363" s="299"/>
      <c r="B363" s="49" t="s">
        <v>67</v>
      </c>
      <c r="C363" s="58" t="s">
        <v>246</v>
      </c>
      <c r="D363" s="59" t="s">
        <v>252</v>
      </c>
      <c r="E363" s="306"/>
      <c r="F363" s="162">
        <v>683</v>
      </c>
      <c r="G363" s="303"/>
      <c r="H363" s="162">
        <f t="shared" si="32"/>
        <v>0.45387994143484628</v>
      </c>
      <c r="I363" s="40">
        <v>0</v>
      </c>
      <c r="J363" s="63">
        <f t="shared" si="30"/>
        <v>310</v>
      </c>
      <c r="K363" s="39">
        <f t="shared" si="31"/>
        <v>310</v>
      </c>
      <c r="L363" s="38">
        <v>0</v>
      </c>
    </row>
    <row r="364" spans="1:12" customFormat="1" x14ac:dyDescent="0.2">
      <c r="A364" s="299"/>
      <c r="B364" s="49" t="s">
        <v>67</v>
      </c>
      <c r="C364" s="58" t="s">
        <v>246</v>
      </c>
      <c r="D364" s="59" t="s">
        <v>253</v>
      </c>
      <c r="E364" s="306"/>
      <c r="F364" s="162">
        <v>623</v>
      </c>
      <c r="G364" s="303"/>
      <c r="H364" s="162">
        <f t="shared" si="32"/>
        <v>0.49759229534510435</v>
      </c>
      <c r="I364" s="40">
        <v>0</v>
      </c>
      <c r="J364" s="63">
        <f t="shared" si="30"/>
        <v>310</v>
      </c>
      <c r="K364" s="39">
        <f t="shared" si="31"/>
        <v>310</v>
      </c>
      <c r="L364" s="38">
        <v>0</v>
      </c>
    </row>
    <row r="365" spans="1:12" customFormat="1" x14ac:dyDescent="0.2">
      <c r="A365" s="299"/>
      <c r="B365" s="49" t="s">
        <v>67</v>
      </c>
      <c r="C365" s="58" t="s">
        <v>246</v>
      </c>
      <c r="D365" s="59" t="s">
        <v>254</v>
      </c>
      <c r="E365" s="306"/>
      <c r="F365" s="162">
        <v>951</v>
      </c>
      <c r="G365" s="303"/>
      <c r="H365" s="162">
        <f t="shared" si="32"/>
        <v>0.32597266035751843</v>
      </c>
      <c r="I365" s="40">
        <v>0</v>
      </c>
      <c r="J365" s="63">
        <f t="shared" si="30"/>
        <v>310</v>
      </c>
      <c r="K365" s="39">
        <f t="shared" si="31"/>
        <v>310</v>
      </c>
      <c r="L365" s="38">
        <v>0</v>
      </c>
    </row>
    <row r="366" spans="1:12" customFormat="1" x14ac:dyDescent="0.2">
      <c r="A366" s="299"/>
      <c r="B366" s="49" t="s">
        <v>67</v>
      </c>
      <c r="C366" s="58" t="s">
        <v>246</v>
      </c>
      <c r="D366" s="59" t="s">
        <v>255</v>
      </c>
      <c r="E366" s="306"/>
      <c r="F366" s="162">
        <v>766</v>
      </c>
      <c r="G366" s="303"/>
      <c r="H366" s="162">
        <f t="shared" si="32"/>
        <v>0.40469973890339428</v>
      </c>
      <c r="I366" s="40">
        <v>0</v>
      </c>
      <c r="J366" s="63">
        <f t="shared" si="30"/>
        <v>310</v>
      </c>
      <c r="K366" s="39">
        <f t="shared" si="31"/>
        <v>310</v>
      </c>
      <c r="L366" s="38">
        <v>0</v>
      </c>
    </row>
    <row r="367" spans="1:12" customFormat="1" x14ac:dyDescent="0.2">
      <c r="A367" s="299"/>
      <c r="B367" s="83" t="s">
        <v>67</v>
      </c>
      <c r="C367" s="84" t="s">
        <v>246</v>
      </c>
      <c r="D367" s="85" t="s">
        <v>256</v>
      </c>
      <c r="E367" s="306"/>
      <c r="F367" s="162">
        <v>1394</v>
      </c>
      <c r="G367" s="303"/>
      <c r="H367" s="162">
        <f>I367/F367</f>
        <v>0.5021520803443329</v>
      </c>
      <c r="I367" s="40">
        <v>700</v>
      </c>
      <c r="J367" s="63">
        <f t="shared" si="30"/>
        <v>0</v>
      </c>
      <c r="K367" s="39">
        <f t="shared" si="31"/>
        <v>700.00000000000011</v>
      </c>
      <c r="L367" s="38">
        <v>5</v>
      </c>
    </row>
    <row r="368" spans="1:12" customFormat="1" x14ac:dyDescent="0.2">
      <c r="A368" s="299"/>
      <c r="B368" s="83" t="s">
        <v>67</v>
      </c>
      <c r="C368" s="84" t="s">
        <v>246</v>
      </c>
      <c r="D368" s="85" t="s">
        <v>257</v>
      </c>
      <c r="E368" s="306"/>
      <c r="F368" s="162">
        <v>2284</v>
      </c>
      <c r="G368" s="303"/>
      <c r="H368" s="162">
        <f>I368/F368</f>
        <v>0.43782837127845886</v>
      </c>
      <c r="I368" s="40">
        <v>1000</v>
      </c>
      <c r="J368" s="63">
        <f t="shared" si="30"/>
        <v>0</v>
      </c>
      <c r="K368" s="39">
        <f t="shared" si="31"/>
        <v>1000</v>
      </c>
      <c r="L368" s="38">
        <v>8</v>
      </c>
    </row>
    <row r="369" spans="1:12" customFormat="1" x14ac:dyDescent="0.2">
      <c r="A369" s="299"/>
      <c r="B369" s="83" t="s">
        <v>67</v>
      </c>
      <c r="C369" s="84" t="s">
        <v>246</v>
      </c>
      <c r="D369" s="85" t="s">
        <v>258</v>
      </c>
      <c r="E369" s="306"/>
      <c r="F369" s="162">
        <v>1074</v>
      </c>
      <c r="G369" s="303"/>
      <c r="H369" s="162">
        <f>I369/F369</f>
        <v>0.46554934823091249</v>
      </c>
      <c r="I369" s="40">
        <v>500</v>
      </c>
      <c r="J369" s="63">
        <f t="shared" si="30"/>
        <v>0</v>
      </c>
      <c r="K369" s="39">
        <f t="shared" si="31"/>
        <v>500</v>
      </c>
      <c r="L369" s="38">
        <v>4</v>
      </c>
    </row>
    <row r="370" spans="1:12" customFormat="1" x14ac:dyDescent="0.2">
      <c r="A370" s="299"/>
      <c r="B370" s="83" t="s">
        <v>67</v>
      </c>
      <c r="C370" s="84" t="s">
        <v>246</v>
      </c>
      <c r="D370" s="85" t="s">
        <v>259</v>
      </c>
      <c r="E370" s="307"/>
      <c r="F370" s="162">
        <v>2685</v>
      </c>
      <c r="G370" s="304"/>
      <c r="H370" s="162">
        <f>I370/F370</f>
        <v>0.48417132216014896</v>
      </c>
      <c r="I370" s="40">
        <v>1300</v>
      </c>
      <c r="J370" s="63">
        <f t="shared" si="30"/>
        <v>0</v>
      </c>
      <c r="K370" s="39">
        <f t="shared" si="31"/>
        <v>1300</v>
      </c>
      <c r="L370" s="38">
        <v>11</v>
      </c>
    </row>
    <row r="371" spans="1:12" customFormat="1" x14ac:dyDescent="0.2">
      <c r="A371" s="299"/>
      <c r="B371" s="49" t="s">
        <v>67</v>
      </c>
      <c r="C371" s="58" t="s">
        <v>218</v>
      </c>
      <c r="D371" s="59" t="s">
        <v>262</v>
      </c>
      <c r="E371" s="305">
        <v>20858.945741</v>
      </c>
      <c r="F371" s="162">
        <v>607</v>
      </c>
      <c r="G371" s="302">
        <f>SUM(K371:K388)/E371</f>
        <v>0.32791686046507179</v>
      </c>
      <c r="H371" s="162">
        <f t="shared" si="32"/>
        <v>0.51070840197693579</v>
      </c>
      <c r="I371" s="40">
        <v>0</v>
      </c>
      <c r="J371" s="63">
        <f t="shared" si="30"/>
        <v>310</v>
      </c>
      <c r="K371" s="39">
        <f t="shared" si="31"/>
        <v>310</v>
      </c>
      <c r="L371" s="38">
        <v>0</v>
      </c>
    </row>
    <row r="372" spans="1:12" customFormat="1" x14ac:dyDescent="0.2">
      <c r="A372" s="299"/>
      <c r="B372" s="49" t="s">
        <v>67</v>
      </c>
      <c r="C372" s="58" t="s">
        <v>218</v>
      </c>
      <c r="D372" s="59" t="s">
        <v>263</v>
      </c>
      <c r="E372" s="306"/>
      <c r="F372" s="162">
        <v>726</v>
      </c>
      <c r="G372" s="303"/>
      <c r="H372" s="162">
        <f t="shared" si="32"/>
        <v>0.42699724517906334</v>
      </c>
      <c r="I372" s="40">
        <v>0</v>
      </c>
      <c r="J372" s="63">
        <f t="shared" si="30"/>
        <v>310</v>
      </c>
      <c r="K372" s="39">
        <f t="shared" si="31"/>
        <v>310</v>
      </c>
      <c r="L372" s="38">
        <v>0</v>
      </c>
    </row>
    <row r="373" spans="1:12" customFormat="1" x14ac:dyDescent="0.2">
      <c r="A373" s="299"/>
      <c r="B373" s="49" t="s">
        <v>67</v>
      </c>
      <c r="C373" s="58" t="s">
        <v>218</v>
      </c>
      <c r="D373" s="59" t="s">
        <v>264</v>
      </c>
      <c r="E373" s="306"/>
      <c r="F373" s="162">
        <v>344</v>
      </c>
      <c r="G373" s="303"/>
      <c r="H373" s="162">
        <f t="shared" si="32"/>
        <v>0.90116279069767447</v>
      </c>
      <c r="I373" s="40">
        <v>0</v>
      </c>
      <c r="J373" s="63">
        <f t="shared" si="30"/>
        <v>310</v>
      </c>
      <c r="K373" s="39">
        <f t="shared" si="31"/>
        <v>310</v>
      </c>
      <c r="L373" s="38">
        <v>0</v>
      </c>
    </row>
    <row r="374" spans="1:12" customFormat="1" x14ac:dyDescent="0.2">
      <c r="A374" s="299"/>
      <c r="B374" s="49" t="s">
        <v>67</v>
      </c>
      <c r="C374" s="58" t="s">
        <v>218</v>
      </c>
      <c r="D374" s="59" t="s">
        <v>265</v>
      </c>
      <c r="E374" s="306"/>
      <c r="F374" s="162">
        <v>671</v>
      </c>
      <c r="G374" s="303"/>
      <c r="H374" s="162">
        <f t="shared" si="32"/>
        <v>0.46199701937406856</v>
      </c>
      <c r="I374" s="40">
        <v>0</v>
      </c>
      <c r="J374" s="63">
        <f t="shared" si="30"/>
        <v>310</v>
      </c>
      <c r="K374" s="39">
        <f t="shared" si="31"/>
        <v>310</v>
      </c>
      <c r="L374" s="38">
        <v>0</v>
      </c>
    </row>
    <row r="375" spans="1:12" customFormat="1" x14ac:dyDescent="0.2">
      <c r="A375" s="299"/>
      <c r="B375" s="49" t="s">
        <v>67</v>
      </c>
      <c r="C375" s="58" t="s">
        <v>218</v>
      </c>
      <c r="D375" s="59" t="s">
        <v>266</v>
      </c>
      <c r="E375" s="306"/>
      <c r="F375" s="162">
        <v>691</v>
      </c>
      <c r="G375" s="303"/>
      <c r="H375" s="162">
        <f t="shared" si="32"/>
        <v>0.44862518089725034</v>
      </c>
      <c r="I375" s="40">
        <v>0</v>
      </c>
      <c r="J375" s="63">
        <f t="shared" si="30"/>
        <v>310</v>
      </c>
      <c r="K375" s="39">
        <f t="shared" si="31"/>
        <v>310</v>
      </c>
      <c r="L375" s="38">
        <v>0</v>
      </c>
    </row>
    <row r="376" spans="1:12" customFormat="1" x14ac:dyDescent="0.2">
      <c r="A376" s="299"/>
      <c r="B376" s="49" t="s">
        <v>67</v>
      </c>
      <c r="C376" s="58" t="s">
        <v>218</v>
      </c>
      <c r="D376" s="59" t="s">
        <v>267</v>
      </c>
      <c r="E376" s="306"/>
      <c r="F376" s="162">
        <v>576</v>
      </c>
      <c r="G376" s="303"/>
      <c r="H376" s="162">
        <f t="shared" si="32"/>
        <v>0.53819444444444442</v>
      </c>
      <c r="I376" s="40">
        <v>0</v>
      </c>
      <c r="J376" s="63">
        <f t="shared" si="30"/>
        <v>310</v>
      </c>
      <c r="K376" s="39">
        <f t="shared" si="31"/>
        <v>310</v>
      </c>
      <c r="L376" s="38">
        <v>0</v>
      </c>
    </row>
    <row r="377" spans="1:12" customFormat="1" x14ac:dyDescent="0.2">
      <c r="A377" s="299"/>
      <c r="B377" s="49" t="s">
        <v>67</v>
      </c>
      <c r="C377" s="58" t="s">
        <v>218</v>
      </c>
      <c r="D377" s="59" t="s">
        <v>268</v>
      </c>
      <c r="E377" s="306"/>
      <c r="F377" s="162">
        <v>370</v>
      </c>
      <c r="G377" s="303"/>
      <c r="H377" s="162">
        <f t="shared" si="32"/>
        <v>0.83783783783783783</v>
      </c>
      <c r="I377" s="40">
        <v>0</v>
      </c>
      <c r="J377" s="63">
        <f t="shared" si="30"/>
        <v>310</v>
      </c>
      <c r="K377" s="39">
        <f t="shared" si="31"/>
        <v>310</v>
      </c>
      <c r="L377" s="38">
        <v>0</v>
      </c>
    </row>
    <row r="378" spans="1:12" customFormat="1" x14ac:dyDescent="0.2">
      <c r="A378" s="299"/>
      <c r="B378" s="49" t="s">
        <v>67</v>
      </c>
      <c r="C378" s="58" t="s">
        <v>218</v>
      </c>
      <c r="D378" s="59" t="s">
        <v>269</v>
      </c>
      <c r="E378" s="306"/>
      <c r="F378" s="162">
        <v>485</v>
      </c>
      <c r="G378" s="303"/>
      <c r="H378" s="162">
        <f t="shared" si="32"/>
        <v>0.63917525773195871</v>
      </c>
      <c r="I378" s="40">
        <v>0</v>
      </c>
      <c r="J378" s="63">
        <f t="shared" si="30"/>
        <v>310</v>
      </c>
      <c r="K378" s="39">
        <f t="shared" si="31"/>
        <v>310</v>
      </c>
      <c r="L378" s="38">
        <v>0</v>
      </c>
    </row>
    <row r="379" spans="1:12" customFormat="1" x14ac:dyDescent="0.2">
      <c r="A379" s="299"/>
      <c r="B379" s="83" t="s">
        <v>67</v>
      </c>
      <c r="C379" s="84" t="s">
        <v>218</v>
      </c>
      <c r="D379" s="85" t="s">
        <v>270</v>
      </c>
      <c r="E379" s="306"/>
      <c r="F379" s="162">
        <v>919</v>
      </c>
      <c r="G379" s="303"/>
      <c r="H379" s="162">
        <f t="shared" si="32"/>
        <v>0.33732317736670292</v>
      </c>
      <c r="I379" s="40">
        <v>0</v>
      </c>
      <c r="J379" s="63">
        <f t="shared" si="30"/>
        <v>310</v>
      </c>
      <c r="K379" s="39">
        <f t="shared" si="31"/>
        <v>310</v>
      </c>
      <c r="L379" s="38">
        <v>0</v>
      </c>
    </row>
    <row r="380" spans="1:12" customFormat="1" x14ac:dyDescent="0.2">
      <c r="A380" s="299"/>
      <c r="B380" s="83" t="s">
        <v>67</v>
      </c>
      <c r="C380" s="84" t="s">
        <v>218</v>
      </c>
      <c r="D380" s="85" t="s">
        <v>271</v>
      </c>
      <c r="E380" s="306"/>
      <c r="F380" s="162">
        <v>915</v>
      </c>
      <c r="G380" s="303"/>
      <c r="H380" s="162">
        <f t="shared" si="32"/>
        <v>0.33879781420765026</v>
      </c>
      <c r="I380" s="40">
        <v>0</v>
      </c>
      <c r="J380" s="63">
        <f t="shared" si="30"/>
        <v>310</v>
      </c>
      <c r="K380" s="39">
        <f t="shared" si="31"/>
        <v>310</v>
      </c>
      <c r="L380" s="38">
        <v>0</v>
      </c>
    </row>
    <row r="381" spans="1:12" customFormat="1" x14ac:dyDescent="0.2">
      <c r="A381" s="299"/>
      <c r="B381" s="83" t="s">
        <v>67</v>
      </c>
      <c r="C381" s="84" t="s">
        <v>218</v>
      </c>
      <c r="D381" s="85" t="s">
        <v>272</v>
      </c>
      <c r="E381" s="306"/>
      <c r="F381" s="162">
        <v>1040</v>
      </c>
      <c r="G381" s="303"/>
      <c r="H381" s="162">
        <f t="shared" si="32"/>
        <v>0.29807692307692307</v>
      </c>
      <c r="I381" s="40">
        <v>0</v>
      </c>
      <c r="J381" s="63">
        <f t="shared" si="30"/>
        <v>310</v>
      </c>
      <c r="K381" s="39">
        <f t="shared" si="31"/>
        <v>310</v>
      </c>
      <c r="L381" s="38">
        <v>0</v>
      </c>
    </row>
    <row r="382" spans="1:12" customFormat="1" x14ac:dyDescent="0.2">
      <c r="A382" s="299"/>
      <c r="B382" s="49" t="s">
        <v>67</v>
      </c>
      <c r="C382" s="58" t="s">
        <v>218</v>
      </c>
      <c r="D382" s="59" t="s">
        <v>273</v>
      </c>
      <c r="E382" s="306"/>
      <c r="F382" s="162">
        <v>1139</v>
      </c>
      <c r="G382" s="303"/>
      <c r="H382" s="162">
        <f t="shared" si="32"/>
        <v>0.27216856892010538</v>
      </c>
      <c r="I382" s="40">
        <v>0</v>
      </c>
      <c r="J382" s="63">
        <f t="shared" si="30"/>
        <v>310</v>
      </c>
      <c r="K382" s="39">
        <f t="shared" si="31"/>
        <v>310</v>
      </c>
      <c r="L382" s="38">
        <v>0</v>
      </c>
    </row>
    <row r="383" spans="1:12" customFormat="1" x14ac:dyDescent="0.2">
      <c r="A383" s="299"/>
      <c r="B383" s="49" t="s">
        <v>67</v>
      </c>
      <c r="C383" s="58" t="s">
        <v>218</v>
      </c>
      <c r="D383" s="59" t="s">
        <v>274</v>
      </c>
      <c r="E383" s="306"/>
      <c r="F383" s="162">
        <v>1169</v>
      </c>
      <c r="G383" s="303"/>
      <c r="H383" s="162">
        <f t="shared" si="32"/>
        <v>0.26518391787852863</v>
      </c>
      <c r="I383" s="40">
        <v>0</v>
      </c>
      <c r="J383" s="63">
        <f t="shared" ref="J383:J446" si="33">K383-I383</f>
        <v>309.99999999999994</v>
      </c>
      <c r="K383" s="39">
        <f t="shared" ref="K383:K446" si="34">F383*H383</f>
        <v>309.99999999999994</v>
      </c>
      <c r="L383" s="38">
        <v>0</v>
      </c>
    </row>
    <row r="384" spans="1:12" customFormat="1" x14ac:dyDescent="0.2">
      <c r="A384" s="299"/>
      <c r="B384" s="49" t="s">
        <v>67</v>
      </c>
      <c r="C384" s="58" t="s">
        <v>218</v>
      </c>
      <c r="D384" s="59" t="s">
        <v>275</v>
      </c>
      <c r="E384" s="306"/>
      <c r="F384" s="162">
        <v>960</v>
      </c>
      <c r="G384" s="303"/>
      <c r="H384" s="162">
        <f t="shared" si="32"/>
        <v>0.32291666666666669</v>
      </c>
      <c r="I384" s="40">
        <v>0</v>
      </c>
      <c r="J384" s="63">
        <f t="shared" si="33"/>
        <v>310</v>
      </c>
      <c r="K384" s="39">
        <f t="shared" si="34"/>
        <v>310</v>
      </c>
      <c r="L384" s="38">
        <v>0</v>
      </c>
    </row>
    <row r="385" spans="1:12" customFormat="1" x14ac:dyDescent="0.2">
      <c r="A385" s="299"/>
      <c r="B385" s="83" t="s">
        <v>67</v>
      </c>
      <c r="C385" s="84" t="s">
        <v>218</v>
      </c>
      <c r="D385" s="85" t="s">
        <v>515</v>
      </c>
      <c r="E385" s="306"/>
      <c r="F385" s="162">
        <v>2320</v>
      </c>
      <c r="G385" s="303"/>
      <c r="H385" s="162">
        <f>I385/F385</f>
        <v>0.30172413793103448</v>
      </c>
      <c r="I385" s="40">
        <v>700</v>
      </c>
      <c r="J385" s="63">
        <f t="shared" si="33"/>
        <v>0</v>
      </c>
      <c r="K385" s="39">
        <f t="shared" si="34"/>
        <v>700</v>
      </c>
      <c r="L385" s="38">
        <v>3</v>
      </c>
    </row>
    <row r="386" spans="1:12" customFormat="1" x14ac:dyDescent="0.2">
      <c r="A386" s="299"/>
      <c r="B386" s="83" t="s">
        <v>67</v>
      </c>
      <c r="C386" s="84" t="s">
        <v>218</v>
      </c>
      <c r="D386" s="85" t="s">
        <v>516</v>
      </c>
      <c r="E386" s="306"/>
      <c r="F386" s="162">
        <v>1378</v>
      </c>
      <c r="G386" s="303"/>
      <c r="H386" s="162">
        <f>I386/F386</f>
        <v>0.43541364296081275</v>
      </c>
      <c r="I386" s="40">
        <v>600</v>
      </c>
      <c r="J386" s="63">
        <f t="shared" si="33"/>
        <v>0</v>
      </c>
      <c r="K386" s="39">
        <f t="shared" si="34"/>
        <v>600</v>
      </c>
      <c r="L386" s="38">
        <v>2</v>
      </c>
    </row>
    <row r="387" spans="1:12" customFormat="1" x14ac:dyDescent="0.2">
      <c r="A387" s="299"/>
      <c r="B387" s="83" t="s">
        <v>67</v>
      </c>
      <c r="C387" s="84" t="s">
        <v>218</v>
      </c>
      <c r="D387" s="85" t="s">
        <v>517</v>
      </c>
      <c r="E387" s="306"/>
      <c r="F387" s="162">
        <v>3023</v>
      </c>
      <c r="G387" s="303"/>
      <c r="H387" s="162">
        <f>I387/F387</f>
        <v>0.29771749917300694</v>
      </c>
      <c r="I387" s="40">
        <v>900</v>
      </c>
      <c r="J387" s="63">
        <f t="shared" si="33"/>
        <v>0</v>
      </c>
      <c r="K387" s="39">
        <f t="shared" si="34"/>
        <v>900</v>
      </c>
      <c r="L387" s="38">
        <v>3</v>
      </c>
    </row>
    <row r="388" spans="1:12" customFormat="1" x14ac:dyDescent="0.2">
      <c r="A388" s="299"/>
      <c r="B388" s="83" t="s">
        <v>67</v>
      </c>
      <c r="C388" s="84" t="s">
        <v>218</v>
      </c>
      <c r="D388" s="85" t="s">
        <v>518</v>
      </c>
      <c r="E388" s="307"/>
      <c r="F388" s="162">
        <v>959</v>
      </c>
      <c r="G388" s="304"/>
      <c r="H388" s="162">
        <f>I388/F388</f>
        <v>0.31282586027111575</v>
      </c>
      <c r="I388" s="40">
        <v>300</v>
      </c>
      <c r="J388" s="63">
        <f t="shared" si="33"/>
        <v>0</v>
      </c>
      <c r="K388" s="39">
        <f t="shared" si="34"/>
        <v>300</v>
      </c>
      <c r="L388" s="38">
        <v>1</v>
      </c>
    </row>
    <row r="389" spans="1:12" customFormat="1" x14ac:dyDescent="0.2">
      <c r="A389" s="299"/>
      <c r="B389" s="49" t="s">
        <v>67</v>
      </c>
      <c r="C389" s="58" t="s">
        <v>228</v>
      </c>
      <c r="D389" s="59" t="s">
        <v>262</v>
      </c>
      <c r="E389" s="305">
        <v>18123.132280000002</v>
      </c>
      <c r="F389" s="162">
        <v>917</v>
      </c>
      <c r="G389" s="302">
        <f>SUM(K389:K399)/E389</f>
        <v>0.35700230512250059</v>
      </c>
      <c r="H389" s="162">
        <f t="shared" si="32"/>
        <v>0.33805888767720826</v>
      </c>
      <c r="I389" s="40">
        <v>0</v>
      </c>
      <c r="J389" s="63">
        <f t="shared" si="33"/>
        <v>310</v>
      </c>
      <c r="K389" s="39">
        <f t="shared" si="34"/>
        <v>310</v>
      </c>
      <c r="L389" s="38">
        <v>0</v>
      </c>
    </row>
    <row r="390" spans="1:12" customFormat="1" x14ac:dyDescent="0.2">
      <c r="A390" s="299"/>
      <c r="B390" s="49" t="s">
        <v>67</v>
      </c>
      <c r="C390" s="58" t="s">
        <v>228</v>
      </c>
      <c r="D390" s="59" t="s">
        <v>263</v>
      </c>
      <c r="E390" s="306"/>
      <c r="F390" s="162">
        <v>525</v>
      </c>
      <c r="G390" s="303"/>
      <c r="H390" s="162">
        <f t="shared" si="32"/>
        <v>0.59047619047619049</v>
      </c>
      <c r="I390" s="40">
        <v>0</v>
      </c>
      <c r="J390" s="63">
        <f t="shared" si="33"/>
        <v>310</v>
      </c>
      <c r="K390" s="39">
        <f t="shared" si="34"/>
        <v>310</v>
      </c>
      <c r="L390" s="38">
        <v>0</v>
      </c>
    </row>
    <row r="391" spans="1:12" customFormat="1" x14ac:dyDescent="0.2">
      <c r="A391" s="299"/>
      <c r="B391" s="49" t="s">
        <v>67</v>
      </c>
      <c r="C391" s="58" t="s">
        <v>228</v>
      </c>
      <c r="D391" s="59" t="s">
        <v>264</v>
      </c>
      <c r="E391" s="306"/>
      <c r="F391" s="162">
        <v>734</v>
      </c>
      <c r="G391" s="303"/>
      <c r="H391" s="162">
        <f t="shared" si="32"/>
        <v>0.42234332425068122</v>
      </c>
      <c r="I391" s="40">
        <v>0</v>
      </c>
      <c r="J391" s="63">
        <f t="shared" si="33"/>
        <v>310</v>
      </c>
      <c r="K391" s="39">
        <f t="shared" si="34"/>
        <v>310</v>
      </c>
      <c r="L391" s="38">
        <v>0</v>
      </c>
    </row>
    <row r="392" spans="1:12" customFormat="1" x14ac:dyDescent="0.2">
      <c r="A392" s="299"/>
      <c r="B392" s="49" t="s">
        <v>67</v>
      </c>
      <c r="C392" s="58" t="s">
        <v>228</v>
      </c>
      <c r="D392" s="59" t="s">
        <v>265</v>
      </c>
      <c r="E392" s="306"/>
      <c r="F392" s="162">
        <v>644</v>
      </c>
      <c r="G392" s="303"/>
      <c r="H392" s="162">
        <f t="shared" si="32"/>
        <v>0.48136645962732921</v>
      </c>
      <c r="I392" s="40">
        <v>0</v>
      </c>
      <c r="J392" s="63">
        <f t="shared" si="33"/>
        <v>310</v>
      </c>
      <c r="K392" s="39">
        <f t="shared" si="34"/>
        <v>310</v>
      </c>
      <c r="L392" s="38">
        <v>0</v>
      </c>
    </row>
    <row r="393" spans="1:12" customFormat="1" x14ac:dyDescent="0.2">
      <c r="A393" s="299"/>
      <c r="B393" s="49" t="s">
        <v>67</v>
      </c>
      <c r="C393" s="58" t="s">
        <v>228</v>
      </c>
      <c r="D393" s="59" t="s">
        <v>266</v>
      </c>
      <c r="E393" s="306"/>
      <c r="F393" s="162">
        <v>891</v>
      </c>
      <c r="G393" s="303"/>
      <c r="H393" s="162">
        <f t="shared" si="32"/>
        <v>0.34792368125701462</v>
      </c>
      <c r="I393" s="40">
        <v>0</v>
      </c>
      <c r="J393" s="63">
        <f t="shared" si="33"/>
        <v>310</v>
      </c>
      <c r="K393" s="39">
        <f t="shared" si="34"/>
        <v>310</v>
      </c>
      <c r="L393" s="38">
        <v>0</v>
      </c>
    </row>
    <row r="394" spans="1:12" customFormat="1" x14ac:dyDescent="0.2">
      <c r="A394" s="299"/>
      <c r="B394" s="49">
        <v>0</v>
      </c>
      <c r="C394" s="58" t="s">
        <v>228</v>
      </c>
      <c r="D394" s="59" t="s">
        <v>267</v>
      </c>
      <c r="E394" s="306"/>
      <c r="F394" s="162">
        <v>375</v>
      </c>
      <c r="G394" s="303"/>
      <c r="H394" s="162">
        <f t="shared" si="32"/>
        <v>0.82666666666666666</v>
      </c>
      <c r="I394" s="40">
        <v>0</v>
      </c>
      <c r="J394" s="63">
        <f t="shared" si="33"/>
        <v>310</v>
      </c>
      <c r="K394" s="39">
        <f t="shared" si="34"/>
        <v>310</v>
      </c>
      <c r="L394" s="38">
        <v>0</v>
      </c>
    </row>
    <row r="395" spans="1:12" customFormat="1" x14ac:dyDescent="0.2">
      <c r="A395" s="299"/>
      <c r="B395" s="49" t="s">
        <v>67</v>
      </c>
      <c r="C395" s="58" t="s">
        <v>228</v>
      </c>
      <c r="D395" s="59" t="s">
        <v>268</v>
      </c>
      <c r="E395" s="306"/>
      <c r="F395" s="162">
        <v>976</v>
      </c>
      <c r="G395" s="303"/>
      <c r="H395" s="162">
        <f t="shared" si="32"/>
        <v>0.31762295081967212</v>
      </c>
      <c r="I395" s="40">
        <v>0</v>
      </c>
      <c r="J395" s="63">
        <f t="shared" si="33"/>
        <v>310</v>
      </c>
      <c r="K395" s="39">
        <f t="shared" si="34"/>
        <v>310</v>
      </c>
      <c r="L395" s="38">
        <v>0</v>
      </c>
    </row>
    <row r="396" spans="1:12" customFormat="1" x14ac:dyDescent="0.2">
      <c r="A396" s="299"/>
      <c r="B396" s="83" t="s">
        <v>67</v>
      </c>
      <c r="C396" s="84" t="s">
        <v>228</v>
      </c>
      <c r="D396" s="85" t="s">
        <v>269</v>
      </c>
      <c r="E396" s="306"/>
      <c r="F396" s="162">
        <v>1162</v>
      </c>
      <c r="G396" s="303"/>
      <c r="H396" s="162">
        <f>I396/F396</f>
        <v>0.34423407917383819</v>
      </c>
      <c r="I396" s="40">
        <v>400</v>
      </c>
      <c r="J396" s="63">
        <f t="shared" si="33"/>
        <v>0</v>
      </c>
      <c r="K396" s="39">
        <f t="shared" si="34"/>
        <v>400</v>
      </c>
      <c r="L396" s="38">
        <v>2</v>
      </c>
    </row>
    <row r="397" spans="1:12" customFormat="1" x14ac:dyDescent="0.2">
      <c r="A397" s="299"/>
      <c r="B397" s="83" t="s">
        <v>67</v>
      </c>
      <c r="C397" s="84" t="s">
        <v>228</v>
      </c>
      <c r="D397" s="85" t="s">
        <v>270</v>
      </c>
      <c r="E397" s="306"/>
      <c r="F397" s="162">
        <v>5529</v>
      </c>
      <c r="G397" s="303"/>
      <c r="H397" s="162">
        <f>I397/F397</f>
        <v>0.37981551817688552</v>
      </c>
      <c r="I397" s="40">
        <v>2100</v>
      </c>
      <c r="J397" s="63">
        <f t="shared" si="33"/>
        <v>0</v>
      </c>
      <c r="K397" s="39">
        <f t="shared" si="34"/>
        <v>2100</v>
      </c>
      <c r="L397" s="38">
        <v>8</v>
      </c>
    </row>
    <row r="398" spans="1:12" customFormat="1" x14ac:dyDescent="0.2">
      <c r="A398" s="299"/>
      <c r="B398" s="83" t="s">
        <v>67</v>
      </c>
      <c r="C398" s="84" t="s">
        <v>228</v>
      </c>
      <c r="D398" s="85" t="s">
        <v>271</v>
      </c>
      <c r="E398" s="306"/>
      <c r="F398" s="162">
        <v>873</v>
      </c>
      <c r="G398" s="303"/>
      <c r="H398" s="162">
        <f>I398/F398</f>
        <v>0.3436426116838488</v>
      </c>
      <c r="I398" s="40">
        <v>300</v>
      </c>
      <c r="J398" s="63">
        <f t="shared" si="33"/>
        <v>0</v>
      </c>
      <c r="K398" s="39">
        <f t="shared" si="34"/>
        <v>300</v>
      </c>
      <c r="L398" s="38">
        <v>2</v>
      </c>
    </row>
    <row r="399" spans="1:12" customFormat="1" x14ac:dyDescent="0.2">
      <c r="A399" s="299"/>
      <c r="B399" s="83" t="s">
        <v>67</v>
      </c>
      <c r="C399" s="84" t="s">
        <v>228</v>
      </c>
      <c r="D399" s="85" t="s">
        <v>272</v>
      </c>
      <c r="E399" s="307"/>
      <c r="F399" s="162">
        <v>3492</v>
      </c>
      <c r="G399" s="304"/>
      <c r="H399" s="162">
        <f>I399/F399</f>
        <v>0.42955326460481097</v>
      </c>
      <c r="I399" s="40">
        <v>1500</v>
      </c>
      <c r="J399" s="63">
        <f t="shared" si="33"/>
        <v>0</v>
      </c>
      <c r="K399" s="39">
        <f t="shared" si="34"/>
        <v>1500</v>
      </c>
      <c r="L399" s="38">
        <v>5</v>
      </c>
    </row>
    <row r="400" spans="1:12" customFormat="1" x14ac:dyDescent="0.2">
      <c r="A400" s="299"/>
      <c r="B400" s="49" t="s">
        <v>67</v>
      </c>
      <c r="C400" s="58" t="s">
        <v>229</v>
      </c>
      <c r="D400" s="59" t="s">
        <v>262</v>
      </c>
      <c r="E400" s="305">
        <v>13535.043852000001</v>
      </c>
      <c r="F400" s="162">
        <v>1588</v>
      </c>
      <c r="G400" s="302">
        <f>SUM(K400:K406)/E400</f>
        <v>0.32160959710202791</v>
      </c>
      <c r="H400" s="162">
        <f t="shared" si="32"/>
        <v>0.19521410579345089</v>
      </c>
      <c r="I400" s="40">
        <v>0</v>
      </c>
      <c r="J400" s="63">
        <f t="shared" si="33"/>
        <v>310</v>
      </c>
      <c r="K400" s="39">
        <f t="shared" si="34"/>
        <v>310</v>
      </c>
      <c r="L400" s="38">
        <v>0</v>
      </c>
    </row>
    <row r="401" spans="1:12" customFormat="1" x14ac:dyDescent="0.2">
      <c r="A401" s="299"/>
      <c r="B401" s="49" t="s">
        <v>67</v>
      </c>
      <c r="C401" s="58" t="s">
        <v>229</v>
      </c>
      <c r="D401" s="59" t="s">
        <v>263</v>
      </c>
      <c r="E401" s="306"/>
      <c r="F401" s="162">
        <v>1448</v>
      </c>
      <c r="G401" s="303"/>
      <c r="H401" s="162">
        <f t="shared" si="32"/>
        <v>0.21408839779005526</v>
      </c>
      <c r="I401" s="40">
        <v>0</v>
      </c>
      <c r="J401" s="63">
        <f t="shared" si="33"/>
        <v>310</v>
      </c>
      <c r="K401" s="39">
        <f t="shared" si="34"/>
        <v>310</v>
      </c>
      <c r="L401" s="38">
        <v>0</v>
      </c>
    </row>
    <row r="402" spans="1:12" customFormat="1" x14ac:dyDescent="0.2">
      <c r="A402" s="299"/>
      <c r="B402" s="49" t="s">
        <v>67</v>
      </c>
      <c r="C402" s="58" t="s">
        <v>229</v>
      </c>
      <c r="D402" s="59" t="s">
        <v>264</v>
      </c>
      <c r="E402" s="306"/>
      <c r="F402" s="162">
        <v>733</v>
      </c>
      <c r="G402" s="303"/>
      <c r="H402" s="162">
        <f t="shared" si="32"/>
        <v>0.4229195088676671</v>
      </c>
      <c r="I402" s="40">
        <v>0</v>
      </c>
      <c r="J402" s="63">
        <f t="shared" si="33"/>
        <v>310</v>
      </c>
      <c r="K402" s="39">
        <f t="shared" si="34"/>
        <v>310</v>
      </c>
      <c r="L402" s="38">
        <v>0</v>
      </c>
    </row>
    <row r="403" spans="1:12" customFormat="1" x14ac:dyDescent="0.2">
      <c r="A403" s="299"/>
      <c r="B403" s="49" t="s">
        <v>67</v>
      </c>
      <c r="C403" s="58" t="s">
        <v>229</v>
      </c>
      <c r="D403" s="59" t="s">
        <v>265</v>
      </c>
      <c r="E403" s="306"/>
      <c r="F403" s="162">
        <v>776</v>
      </c>
      <c r="G403" s="303"/>
      <c r="H403" s="162">
        <f t="shared" si="32"/>
        <v>0.39948453608247425</v>
      </c>
      <c r="I403" s="40">
        <v>0</v>
      </c>
      <c r="J403" s="63">
        <f t="shared" si="33"/>
        <v>310</v>
      </c>
      <c r="K403" s="39">
        <f t="shared" si="34"/>
        <v>310</v>
      </c>
      <c r="L403" s="38">
        <v>0</v>
      </c>
    </row>
    <row r="404" spans="1:12" customFormat="1" x14ac:dyDescent="0.2">
      <c r="A404" s="299"/>
      <c r="B404" s="83" t="s">
        <v>67</v>
      </c>
      <c r="C404" s="84" t="s">
        <v>229</v>
      </c>
      <c r="D404" s="85" t="s">
        <v>266</v>
      </c>
      <c r="E404" s="306"/>
      <c r="F404" s="162">
        <v>1637</v>
      </c>
      <c r="G404" s="303"/>
      <c r="H404" s="162">
        <f>I404/F404</f>
        <v>0.47648136835675015</v>
      </c>
      <c r="I404" s="40">
        <v>780</v>
      </c>
      <c r="J404" s="63">
        <f t="shared" si="33"/>
        <v>0</v>
      </c>
      <c r="K404" s="39">
        <f t="shared" si="34"/>
        <v>780</v>
      </c>
      <c r="L404" s="38">
        <v>3</v>
      </c>
    </row>
    <row r="405" spans="1:12" customFormat="1" x14ac:dyDescent="0.2">
      <c r="A405" s="299"/>
      <c r="B405" s="83" t="s">
        <v>67</v>
      </c>
      <c r="C405" s="84" t="s">
        <v>229</v>
      </c>
      <c r="D405" s="85" t="s">
        <v>267</v>
      </c>
      <c r="E405" s="306"/>
      <c r="F405" s="162">
        <v>3374</v>
      </c>
      <c r="G405" s="303"/>
      <c r="H405" s="162">
        <f>I405/F405</f>
        <v>0.41493775933609961</v>
      </c>
      <c r="I405" s="40">
        <v>1400</v>
      </c>
      <c r="J405" s="63">
        <f t="shared" si="33"/>
        <v>0</v>
      </c>
      <c r="K405" s="39">
        <f t="shared" si="34"/>
        <v>1400</v>
      </c>
      <c r="L405" s="38">
        <v>5</v>
      </c>
    </row>
    <row r="406" spans="1:12" customFormat="1" x14ac:dyDescent="0.2">
      <c r="A406" s="299"/>
      <c r="B406" s="83" t="s">
        <v>67</v>
      </c>
      <c r="C406" s="84" t="s">
        <v>229</v>
      </c>
      <c r="D406" s="85" t="s">
        <v>268</v>
      </c>
      <c r="E406" s="307"/>
      <c r="F406" s="162">
        <v>2546</v>
      </c>
      <c r="G406" s="304"/>
      <c r="H406" s="162">
        <f>I406/F406</f>
        <v>0.36645718774548314</v>
      </c>
      <c r="I406" s="40">
        <v>933</v>
      </c>
      <c r="J406" s="63">
        <f t="shared" si="33"/>
        <v>0</v>
      </c>
      <c r="K406" s="39">
        <f t="shared" si="34"/>
        <v>933.00000000000011</v>
      </c>
      <c r="L406" s="38">
        <v>3</v>
      </c>
    </row>
    <row r="407" spans="1:12" customFormat="1" x14ac:dyDescent="0.2">
      <c r="A407" s="299"/>
      <c r="B407" s="49" t="s">
        <v>67</v>
      </c>
      <c r="C407" s="58" t="s">
        <v>218</v>
      </c>
      <c r="D407" s="59" t="s">
        <v>276</v>
      </c>
      <c r="E407" s="305">
        <f>1374.33031+11200.295842+2307.22002</f>
        <v>14881.846172</v>
      </c>
      <c r="F407" s="162">
        <v>1356</v>
      </c>
      <c r="G407" s="302">
        <f>SUM(K407:K416)/E407</f>
        <v>0.38704875278427253</v>
      </c>
      <c r="H407" s="162">
        <f t="shared" si="32"/>
        <v>0.22861356932153393</v>
      </c>
      <c r="I407" s="40">
        <v>0</v>
      </c>
      <c r="J407" s="63">
        <f t="shared" si="33"/>
        <v>310</v>
      </c>
      <c r="K407" s="39">
        <f t="shared" si="34"/>
        <v>310</v>
      </c>
      <c r="L407" s="38">
        <v>0</v>
      </c>
    </row>
    <row r="408" spans="1:12" customFormat="1" x14ac:dyDescent="0.2">
      <c r="A408" s="299"/>
      <c r="B408" s="49" t="s">
        <v>67</v>
      </c>
      <c r="C408" s="58" t="s">
        <v>218</v>
      </c>
      <c r="D408" s="59" t="s">
        <v>277</v>
      </c>
      <c r="E408" s="306"/>
      <c r="F408" s="162">
        <v>1202</v>
      </c>
      <c r="G408" s="303"/>
      <c r="H408" s="162">
        <f t="shared" si="32"/>
        <v>0.25790349417637271</v>
      </c>
      <c r="I408" s="40">
        <v>0</v>
      </c>
      <c r="J408" s="63">
        <f t="shared" si="33"/>
        <v>310</v>
      </c>
      <c r="K408" s="39">
        <f t="shared" si="34"/>
        <v>310</v>
      </c>
      <c r="L408" s="38">
        <v>0</v>
      </c>
    </row>
    <row r="409" spans="1:12" customFormat="1" x14ac:dyDescent="0.2">
      <c r="A409" s="299"/>
      <c r="B409" s="49" t="s">
        <v>67</v>
      </c>
      <c r="C409" s="58" t="s">
        <v>218</v>
      </c>
      <c r="D409" s="59" t="s">
        <v>278</v>
      </c>
      <c r="E409" s="306"/>
      <c r="F409" s="162">
        <v>2084</v>
      </c>
      <c r="G409" s="303"/>
      <c r="H409" s="162">
        <f t="shared" si="32"/>
        <v>0.14875239923224567</v>
      </c>
      <c r="I409" s="40">
        <v>0</v>
      </c>
      <c r="J409" s="63">
        <f t="shared" si="33"/>
        <v>310</v>
      </c>
      <c r="K409" s="39">
        <f t="shared" si="34"/>
        <v>310</v>
      </c>
      <c r="L409" s="38">
        <v>0</v>
      </c>
    </row>
    <row r="410" spans="1:12" customFormat="1" x14ac:dyDescent="0.2">
      <c r="A410" s="299"/>
      <c r="B410" s="49" t="s">
        <v>67</v>
      </c>
      <c r="C410" s="58" t="s">
        <v>218</v>
      </c>
      <c r="D410" s="59" t="s">
        <v>279</v>
      </c>
      <c r="E410" s="306"/>
      <c r="F410" s="162">
        <v>661</v>
      </c>
      <c r="G410" s="303"/>
      <c r="H410" s="162">
        <f t="shared" si="32"/>
        <v>0.46898638426626321</v>
      </c>
      <c r="I410" s="40">
        <v>0</v>
      </c>
      <c r="J410" s="63">
        <f t="shared" si="33"/>
        <v>310</v>
      </c>
      <c r="K410" s="39">
        <f t="shared" si="34"/>
        <v>310</v>
      </c>
      <c r="L410" s="38">
        <v>0</v>
      </c>
    </row>
    <row r="411" spans="1:12" customFormat="1" x14ac:dyDescent="0.2">
      <c r="A411" s="299"/>
      <c r="B411" s="49" t="s">
        <v>67</v>
      </c>
      <c r="C411" s="58" t="s">
        <v>218</v>
      </c>
      <c r="D411" s="59" t="s">
        <v>280</v>
      </c>
      <c r="E411" s="306"/>
      <c r="F411" s="162">
        <v>626</v>
      </c>
      <c r="G411" s="303"/>
      <c r="H411" s="162">
        <f t="shared" si="32"/>
        <v>0.49520766773162939</v>
      </c>
      <c r="I411" s="40">
        <v>0</v>
      </c>
      <c r="J411" s="63">
        <f t="shared" si="33"/>
        <v>310</v>
      </c>
      <c r="K411" s="39">
        <f t="shared" si="34"/>
        <v>310</v>
      </c>
      <c r="L411" s="38">
        <v>0</v>
      </c>
    </row>
    <row r="412" spans="1:12" customFormat="1" x14ac:dyDescent="0.2">
      <c r="A412" s="299"/>
      <c r="B412" s="49" t="s">
        <v>67</v>
      </c>
      <c r="C412" s="58" t="s">
        <v>218</v>
      </c>
      <c r="D412" s="59" t="s">
        <v>281</v>
      </c>
      <c r="E412" s="306"/>
      <c r="F412" s="162">
        <v>547</v>
      </c>
      <c r="G412" s="303"/>
      <c r="H412" s="162">
        <f t="shared" si="32"/>
        <v>0.56672760511883002</v>
      </c>
      <c r="I412" s="40">
        <v>0</v>
      </c>
      <c r="J412" s="63">
        <f t="shared" si="33"/>
        <v>310</v>
      </c>
      <c r="K412" s="39">
        <f t="shared" si="34"/>
        <v>310</v>
      </c>
      <c r="L412" s="38">
        <v>0</v>
      </c>
    </row>
    <row r="413" spans="1:12" customFormat="1" x14ac:dyDescent="0.2">
      <c r="A413" s="299"/>
      <c r="B413" s="83" t="s">
        <v>67</v>
      </c>
      <c r="C413" s="84" t="s">
        <v>218</v>
      </c>
      <c r="D413" s="85" t="s">
        <v>282</v>
      </c>
      <c r="E413" s="306"/>
      <c r="F413" s="162">
        <v>796</v>
      </c>
      <c r="G413" s="303"/>
      <c r="H413" s="162">
        <f>I413/F413</f>
        <v>0.37688442211055279</v>
      </c>
      <c r="I413" s="40">
        <v>300</v>
      </c>
      <c r="J413" s="63">
        <f t="shared" si="33"/>
        <v>0</v>
      </c>
      <c r="K413" s="39">
        <f t="shared" si="34"/>
        <v>300</v>
      </c>
      <c r="L413" s="38">
        <v>1</v>
      </c>
    </row>
    <row r="414" spans="1:12" customFormat="1" x14ac:dyDescent="0.2">
      <c r="A414" s="299"/>
      <c r="B414" s="83" t="s">
        <v>67</v>
      </c>
      <c r="C414" s="84" t="s">
        <v>218</v>
      </c>
      <c r="D414" s="85" t="s">
        <v>283</v>
      </c>
      <c r="E414" s="306"/>
      <c r="F414" s="162">
        <v>461</v>
      </c>
      <c r="G414" s="303"/>
      <c r="H414" s="162">
        <f>I414/F414</f>
        <v>0.43383947939262474</v>
      </c>
      <c r="I414" s="40">
        <v>200</v>
      </c>
      <c r="J414" s="63">
        <f t="shared" si="33"/>
        <v>0</v>
      </c>
      <c r="K414" s="39">
        <f t="shared" si="34"/>
        <v>200</v>
      </c>
      <c r="L414" s="38">
        <v>1</v>
      </c>
    </row>
    <row r="415" spans="1:12" customFormat="1" x14ac:dyDescent="0.2">
      <c r="A415" s="299"/>
      <c r="B415" s="83" t="s">
        <v>67</v>
      </c>
      <c r="C415" s="84" t="s">
        <v>218</v>
      </c>
      <c r="D415" s="85" t="s">
        <v>284</v>
      </c>
      <c r="E415" s="306"/>
      <c r="F415" s="162">
        <v>6200</v>
      </c>
      <c r="G415" s="303"/>
      <c r="H415" s="162">
        <f>I415/F415</f>
        <v>0.49193548387096775</v>
      </c>
      <c r="I415" s="40">
        <v>3050</v>
      </c>
      <c r="J415" s="63">
        <f t="shared" si="33"/>
        <v>0</v>
      </c>
      <c r="K415" s="39">
        <f t="shared" si="34"/>
        <v>3050</v>
      </c>
      <c r="L415" s="38">
        <v>11</v>
      </c>
    </row>
    <row r="416" spans="1:12" customFormat="1" x14ac:dyDescent="0.2">
      <c r="A416" s="299"/>
      <c r="B416" s="83" t="s">
        <v>67</v>
      </c>
      <c r="C416" s="84" t="s">
        <v>218</v>
      </c>
      <c r="D416" s="85" t="s">
        <v>285</v>
      </c>
      <c r="E416" s="307"/>
      <c r="F416" s="162">
        <v>739</v>
      </c>
      <c r="G416" s="304"/>
      <c r="H416" s="162">
        <f>I416/F416</f>
        <v>0.4736129905277402</v>
      </c>
      <c r="I416" s="40">
        <v>350</v>
      </c>
      <c r="J416" s="63">
        <f t="shared" si="33"/>
        <v>0</v>
      </c>
      <c r="K416" s="39">
        <f t="shared" si="34"/>
        <v>350</v>
      </c>
      <c r="L416" s="38">
        <v>2</v>
      </c>
    </row>
    <row r="417" spans="1:12" customFormat="1" x14ac:dyDescent="0.2">
      <c r="A417" s="299"/>
      <c r="B417" s="49" t="s">
        <v>67</v>
      </c>
      <c r="C417" s="58" t="s">
        <v>228</v>
      </c>
      <c r="D417" s="59" t="s">
        <v>276</v>
      </c>
      <c r="E417" s="305">
        <v>10420.638052</v>
      </c>
      <c r="F417" s="162">
        <v>430</v>
      </c>
      <c r="G417" s="302">
        <f>SUM(K417:K430)/E417</f>
        <v>0.67270352976654757</v>
      </c>
      <c r="H417" s="162">
        <f t="shared" si="32"/>
        <v>0.72093023255813948</v>
      </c>
      <c r="I417" s="40">
        <v>0</v>
      </c>
      <c r="J417" s="63">
        <f t="shared" si="33"/>
        <v>310</v>
      </c>
      <c r="K417" s="39">
        <f t="shared" si="34"/>
        <v>310</v>
      </c>
      <c r="L417" s="38">
        <v>0</v>
      </c>
    </row>
    <row r="418" spans="1:12" customFormat="1" x14ac:dyDescent="0.2">
      <c r="A418" s="299"/>
      <c r="B418" s="49" t="s">
        <v>67</v>
      </c>
      <c r="C418" s="58" t="s">
        <v>228</v>
      </c>
      <c r="D418" s="59" t="s">
        <v>277</v>
      </c>
      <c r="E418" s="306"/>
      <c r="F418" s="162">
        <v>1197</v>
      </c>
      <c r="G418" s="303"/>
      <c r="H418" s="162">
        <f t="shared" si="32"/>
        <v>0.25898078529657476</v>
      </c>
      <c r="I418" s="40">
        <v>0</v>
      </c>
      <c r="J418" s="63">
        <f t="shared" si="33"/>
        <v>310</v>
      </c>
      <c r="K418" s="39">
        <f t="shared" si="34"/>
        <v>310</v>
      </c>
      <c r="L418" s="38">
        <v>0</v>
      </c>
    </row>
    <row r="419" spans="1:12" customFormat="1" x14ac:dyDescent="0.2">
      <c r="A419" s="299"/>
      <c r="B419" s="49" t="s">
        <v>67</v>
      </c>
      <c r="C419" s="58" t="s">
        <v>228</v>
      </c>
      <c r="D419" s="59" t="s">
        <v>278</v>
      </c>
      <c r="E419" s="306"/>
      <c r="F419" s="162">
        <v>463</v>
      </c>
      <c r="G419" s="303"/>
      <c r="H419" s="162">
        <f t="shared" si="32"/>
        <v>0.66954643628509725</v>
      </c>
      <c r="I419" s="40">
        <v>0</v>
      </c>
      <c r="J419" s="63">
        <f t="shared" si="33"/>
        <v>310</v>
      </c>
      <c r="K419" s="39">
        <f t="shared" si="34"/>
        <v>310</v>
      </c>
      <c r="L419" s="38">
        <v>0</v>
      </c>
    </row>
    <row r="420" spans="1:12" customFormat="1" x14ac:dyDescent="0.2">
      <c r="A420" s="299"/>
      <c r="B420" s="49" t="s">
        <v>67</v>
      </c>
      <c r="C420" s="58" t="s">
        <v>228</v>
      </c>
      <c r="D420" s="59" t="s">
        <v>279</v>
      </c>
      <c r="E420" s="306"/>
      <c r="F420" s="162">
        <v>452</v>
      </c>
      <c r="G420" s="303"/>
      <c r="H420" s="162">
        <f t="shared" si="32"/>
        <v>0.68584070796460173</v>
      </c>
      <c r="I420" s="40">
        <v>0</v>
      </c>
      <c r="J420" s="63">
        <f t="shared" si="33"/>
        <v>310</v>
      </c>
      <c r="K420" s="39">
        <f t="shared" si="34"/>
        <v>310</v>
      </c>
      <c r="L420" s="38">
        <v>0</v>
      </c>
    </row>
    <row r="421" spans="1:12" customFormat="1" x14ac:dyDescent="0.2">
      <c r="A421" s="299"/>
      <c r="B421" s="49" t="s">
        <v>67</v>
      </c>
      <c r="C421" s="58" t="s">
        <v>228</v>
      </c>
      <c r="D421" s="59" t="s">
        <v>280</v>
      </c>
      <c r="E421" s="306"/>
      <c r="F421" s="162">
        <v>839</v>
      </c>
      <c r="G421" s="303"/>
      <c r="H421" s="162">
        <f t="shared" si="32"/>
        <v>0.36948748510131108</v>
      </c>
      <c r="I421" s="40">
        <v>0</v>
      </c>
      <c r="J421" s="63">
        <f t="shared" si="33"/>
        <v>310</v>
      </c>
      <c r="K421" s="39">
        <f t="shared" si="34"/>
        <v>310</v>
      </c>
      <c r="L421" s="38">
        <v>0</v>
      </c>
    </row>
    <row r="422" spans="1:12" customFormat="1" x14ac:dyDescent="0.2">
      <c r="A422" s="299"/>
      <c r="B422" s="49" t="s">
        <v>67</v>
      </c>
      <c r="C422" s="58" t="s">
        <v>228</v>
      </c>
      <c r="D422" s="59" t="s">
        <v>281</v>
      </c>
      <c r="E422" s="306"/>
      <c r="F422" s="162">
        <v>587</v>
      </c>
      <c r="G422" s="303"/>
      <c r="H422" s="162">
        <f t="shared" si="32"/>
        <v>0.52810902896081768</v>
      </c>
      <c r="I422" s="40">
        <v>0</v>
      </c>
      <c r="J422" s="63">
        <f t="shared" si="33"/>
        <v>310</v>
      </c>
      <c r="K422" s="39">
        <f t="shared" si="34"/>
        <v>310</v>
      </c>
      <c r="L422" s="38">
        <v>0</v>
      </c>
    </row>
    <row r="423" spans="1:12" customFormat="1" x14ac:dyDescent="0.2">
      <c r="A423" s="299"/>
      <c r="B423" s="49" t="s">
        <v>67</v>
      </c>
      <c r="C423" s="58" t="s">
        <v>228</v>
      </c>
      <c r="D423" s="59" t="s">
        <v>282</v>
      </c>
      <c r="E423" s="306"/>
      <c r="F423" s="162">
        <v>568</v>
      </c>
      <c r="G423" s="303"/>
      <c r="H423" s="162">
        <f t="shared" si="32"/>
        <v>0.54577464788732399</v>
      </c>
      <c r="I423" s="40">
        <v>0</v>
      </c>
      <c r="J423" s="63">
        <f t="shared" si="33"/>
        <v>310</v>
      </c>
      <c r="K423" s="39">
        <f t="shared" si="34"/>
        <v>310</v>
      </c>
      <c r="L423" s="38">
        <v>0</v>
      </c>
    </row>
    <row r="424" spans="1:12" customFormat="1" x14ac:dyDescent="0.2">
      <c r="A424" s="299"/>
      <c r="B424" s="83" t="s">
        <v>67</v>
      </c>
      <c r="C424" s="84" t="s">
        <v>228</v>
      </c>
      <c r="D424" s="85" t="s">
        <v>283</v>
      </c>
      <c r="E424" s="306"/>
      <c r="F424" s="162">
        <v>440</v>
      </c>
      <c r="G424" s="303"/>
      <c r="H424" s="162">
        <f t="shared" si="32"/>
        <v>0.70454545454545459</v>
      </c>
      <c r="I424" s="40">
        <v>0</v>
      </c>
      <c r="J424" s="63">
        <f t="shared" si="33"/>
        <v>310</v>
      </c>
      <c r="K424" s="39">
        <f t="shared" si="34"/>
        <v>310</v>
      </c>
      <c r="L424" s="38">
        <v>0</v>
      </c>
    </row>
    <row r="425" spans="1:12" customFormat="1" x14ac:dyDescent="0.2">
      <c r="A425" s="299"/>
      <c r="B425" s="83" t="s">
        <v>67</v>
      </c>
      <c r="C425" s="84" t="s">
        <v>228</v>
      </c>
      <c r="D425" s="85" t="s">
        <v>284</v>
      </c>
      <c r="E425" s="306"/>
      <c r="F425" s="162">
        <v>438</v>
      </c>
      <c r="G425" s="303"/>
      <c r="H425" s="162">
        <f t="shared" si="32"/>
        <v>0.70776255707762559</v>
      </c>
      <c r="I425" s="40">
        <v>0</v>
      </c>
      <c r="J425" s="63">
        <f t="shared" si="33"/>
        <v>310</v>
      </c>
      <c r="K425" s="39">
        <f t="shared" si="34"/>
        <v>310</v>
      </c>
      <c r="L425" s="38">
        <v>0</v>
      </c>
    </row>
    <row r="426" spans="1:12" customFormat="1" x14ac:dyDescent="0.2">
      <c r="A426" s="299"/>
      <c r="B426" s="49" t="s">
        <v>67</v>
      </c>
      <c r="C426" s="58" t="s">
        <v>228</v>
      </c>
      <c r="D426" s="59" t="s">
        <v>285</v>
      </c>
      <c r="E426" s="306"/>
      <c r="F426" s="162">
        <v>521</v>
      </c>
      <c r="G426" s="303"/>
      <c r="H426" s="162">
        <f t="shared" ref="H426:H511" si="35">310/F426</f>
        <v>0.5950095969289827</v>
      </c>
      <c r="I426" s="40">
        <v>0</v>
      </c>
      <c r="J426" s="63">
        <f t="shared" si="33"/>
        <v>310</v>
      </c>
      <c r="K426" s="39">
        <f t="shared" si="34"/>
        <v>310</v>
      </c>
      <c r="L426" s="38">
        <v>0</v>
      </c>
    </row>
    <row r="427" spans="1:12" customFormat="1" x14ac:dyDescent="0.2">
      <c r="A427" s="299"/>
      <c r="B427" s="49" t="s">
        <v>67</v>
      </c>
      <c r="C427" s="58" t="s">
        <v>228</v>
      </c>
      <c r="D427" s="59" t="s">
        <v>286</v>
      </c>
      <c r="E427" s="306"/>
      <c r="F427" s="162">
        <v>537</v>
      </c>
      <c r="G427" s="303"/>
      <c r="H427" s="162">
        <f>310/F427</f>
        <v>0.57728119180633142</v>
      </c>
      <c r="I427" s="40">
        <v>0</v>
      </c>
      <c r="J427" s="63">
        <f t="shared" si="33"/>
        <v>309.99999999999994</v>
      </c>
      <c r="K427" s="39">
        <f t="shared" si="34"/>
        <v>309.99999999999994</v>
      </c>
      <c r="L427" s="38">
        <v>0</v>
      </c>
    </row>
    <row r="428" spans="1:12" customFormat="1" x14ac:dyDescent="0.2">
      <c r="A428" s="299"/>
      <c r="B428" s="83" t="s">
        <v>67</v>
      </c>
      <c r="C428" s="84" t="s">
        <v>228</v>
      </c>
      <c r="D428" s="85" t="s">
        <v>519</v>
      </c>
      <c r="E428" s="306"/>
      <c r="F428" s="162">
        <v>838</v>
      </c>
      <c r="G428" s="303"/>
      <c r="H428" s="162">
        <f>I428/F428</f>
        <v>0.95465393794749398</v>
      </c>
      <c r="I428" s="40">
        <v>800</v>
      </c>
      <c r="J428" s="63">
        <f t="shared" si="33"/>
        <v>0</v>
      </c>
      <c r="K428" s="39">
        <f t="shared" si="34"/>
        <v>800</v>
      </c>
      <c r="L428" s="38">
        <v>4</v>
      </c>
    </row>
    <row r="429" spans="1:12" customFormat="1" x14ac:dyDescent="0.2">
      <c r="A429" s="299"/>
      <c r="B429" s="83" t="s">
        <v>67</v>
      </c>
      <c r="C429" s="84" t="s">
        <v>228</v>
      </c>
      <c r="D429" s="85" t="s">
        <v>520</v>
      </c>
      <c r="E429" s="306"/>
      <c r="F429" s="162">
        <v>1387</v>
      </c>
      <c r="G429" s="303"/>
      <c r="H429" s="162">
        <f>I429/F429</f>
        <v>0.86517664023071372</v>
      </c>
      <c r="I429" s="40">
        <v>1200</v>
      </c>
      <c r="J429" s="63">
        <f t="shared" si="33"/>
        <v>0</v>
      </c>
      <c r="K429" s="39">
        <f t="shared" si="34"/>
        <v>1200</v>
      </c>
      <c r="L429" s="38">
        <v>6</v>
      </c>
    </row>
    <row r="430" spans="1:12" customFormat="1" x14ac:dyDescent="0.2">
      <c r="A430" s="299"/>
      <c r="B430" s="83" t="s">
        <v>67</v>
      </c>
      <c r="C430" s="84" t="s">
        <v>228</v>
      </c>
      <c r="D430" s="85" t="s">
        <v>521</v>
      </c>
      <c r="E430" s="307"/>
      <c r="F430" s="162">
        <v>1719</v>
      </c>
      <c r="G430" s="304"/>
      <c r="H430" s="162">
        <f>I430/F430</f>
        <v>0.93077370564281559</v>
      </c>
      <c r="I430" s="40">
        <v>1600</v>
      </c>
      <c r="J430" s="63">
        <f t="shared" si="33"/>
        <v>0</v>
      </c>
      <c r="K430" s="39">
        <f t="shared" si="34"/>
        <v>1600</v>
      </c>
      <c r="L430" s="38">
        <v>9</v>
      </c>
    </row>
    <row r="431" spans="1:12" customFormat="1" x14ac:dyDescent="0.2">
      <c r="A431" s="299"/>
      <c r="B431" s="49" t="s">
        <v>67</v>
      </c>
      <c r="C431" s="58" t="s">
        <v>229</v>
      </c>
      <c r="D431" s="59" t="s">
        <v>276</v>
      </c>
      <c r="E431" s="305">
        <f>1957.561087+1931.962252+3326.17131+2274.053197+3107.744476</f>
        <v>12597.492322000002</v>
      </c>
      <c r="F431" s="162">
        <v>446</v>
      </c>
      <c r="G431" s="302">
        <f>SUM(K431:K440)/E431</f>
        <v>0.63187178817317635</v>
      </c>
      <c r="H431" s="162">
        <f t="shared" si="35"/>
        <v>0.69506726457399104</v>
      </c>
      <c r="I431" s="40">
        <v>0</v>
      </c>
      <c r="J431" s="63">
        <f t="shared" si="33"/>
        <v>310</v>
      </c>
      <c r="K431" s="39">
        <f t="shared" si="34"/>
        <v>310</v>
      </c>
      <c r="L431" s="38">
        <v>0</v>
      </c>
    </row>
    <row r="432" spans="1:12" customFormat="1" x14ac:dyDescent="0.2">
      <c r="A432" s="299"/>
      <c r="B432" s="49" t="s">
        <v>67</v>
      </c>
      <c r="C432" s="58" t="s">
        <v>229</v>
      </c>
      <c r="D432" s="59" t="s">
        <v>277</v>
      </c>
      <c r="E432" s="306"/>
      <c r="F432" s="162">
        <v>508</v>
      </c>
      <c r="G432" s="303"/>
      <c r="H432" s="162">
        <f t="shared" si="35"/>
        <v>0.61023622047244097</v>
      </c>
      <c r="I432" s="40">
        <v>0</v>
      </c>
      <c r="J432" s="63">
        <f t="shared" si="33"/>
        <v>310</v>
      </c>
      <c r="K432" s="39">
        <f t="shared" si="34"/>
        <v>310</v>
      </c>
      <c r="L432" s="38">
        <v>0</v>
      </c>
    </row>
    <row r="433" spans="1:12" customFormat="1" x14ac:dyDescent="0.2">
      <c r="A433" s="299"/>
      <c r="B433" s="49" t="s">
        <v>67</v>
      </c>
      <c r="C433" s="58" t="s">
        <v>229</v>
      </c>
      <c r="D433" s="59" t="s">
        <v>278</v>
      </c>
      <c r="E433" s="306"/>
      <c r="F433" s="162">
        <v>504</v>
      </c>
      <c r="G433" s="303"/>
      <c r="H433" s="162">
        <f t="shared" si="35"/>
        <v>0.61507936507936511</v>
      </c>
      <c r="I433" s="40">
        <v>0</v>
      </c>
      <c r="J433" s="63">
        <f t="shared" si="33"/>
        <v>310</v>
      </c>
      <c r="K433" s="39">
        <f t="shared" si="34"/>
        <v>310</v>
      </c>
      <c r="L433" s="38">
        <v>0</v>
      </c>
    </row>
    <row r="434" spans="1:12" customFormat="1" x14ac:dyDescent="0.2">
      <c r="A434" s="299"/>
      <c r="B434" s="49" t="s">
        <v>67</v>
      </c>
      <c r="C434" s="58" t="s">
        <v>229</v>
      </c>
      <c r="D434" s="59" t="s">
        <v>279</v>
      </c>
      <c r="E434" s="306"/>
      <c r="F434" s="162">
        <v>624</v>
      </c>
      <c r="G434" s="303"/>
      <c r="H434" s="162">
        <f t="shared" si="35"/>
        <v>0.49679487179487181</v>
      </c>
      <c r="I434" s="40">
        <v>0</v>
      </c>
      <c r="J434" s="63">
        <f t="shared" si="33"/>
        <v>310</v>
      </c>
      <c r="K434" s="39">
        <f t="shared" si="34"/>
        <v>310</v>
      </c>
      <c r="L434" s="38">
        <v>0</v>
      </c>
    </row>
    <row r="435" spans="1:12" customFormat="1" x14ac:dyDescent="0.2">
      <c r="A435" s="299"/>
      <c r="B435" s="49" t="s">
        <v>67</v>
      </c>
      <c r="C435" s="58" t="s">
        <v>229</v>
      </c>
      <c r="D435" s="59" t="s">
        <v>280</v>
      </c>
      <c r="E435" s="306"/>
      <c r="F435" s="162">
        <v>911</v>
      </c>
      <c r="G435" s="303"/>
      <c r="H435" s="162">
        <f t="shared" si="35"/>
        <v>0.3402854006586169</v>
      </c>
      <c r="I435" s="40">
        <v>0</v>
      </c>
      <c r="J435" s="63">
        <f t="shared" si="33"/>
        <v>310</v>
      </c>
      <c r="K435" s="39">
        <f t="shared" si="34"/>
        <v>310</v>
      </c>
      <c r="L435" s="38">
        <v>0</v>
      </c>
    </row>
    <row r="436" spans="1:12" customFormat="1" x14ac:dyDescent="0.2">
      <c r="A436" s="299"/>
      <c r="B436" s="49" t="s">
        <v>67</v>
      </c>
      <c r="C436" s="58" t="s">
        <v>229</v>
      </c>
      <c r="D436" s="59" t="s">
        <v>281</v>
      </c>
      <c r="E436" s="306"/>
      <c r="F436" s="162">
        <v>1021</v>
      </c>
      <c r="G436" s="303"/>
      <c r="H436" s="162">
        <f t="shared" si="35"/>
        <v>0.30362389813907931</v>
      </c>
      <c r="I436" s="40">
        <v>0</v>
      </c>
      <c r="J436" s="63">
        <f t="shared" si="33"/>
        <v>310</v>
      </c>
      <c r="K436" s="39">
        <f t="shared" si="34"/>
        <v>310</v>
      </c>
      <c r="L436" s="38">
        <v>0</v>
      </c>
    </row>
    <row r="437" spans="1:12" customFormat="1" x14ac:dyDescent="0.2">
      <c r="A437" s="299"/>
      <c r="B437" s="83" t="s">
        <v>67</v>
      </c>
      <c r="C437" s="84" t="s">
        <v>229</v>
      </c>
      <c r="D437" s="85" t="s">
        <v>282</v>
      </c>
      <c r="E437" s="306"/>
      <c r="F437" s="162">
        <v>827</v>
      </c>
      <c r="G437" s="303"/>
      <c r="H437" s="162">
        <f>I437/F437</f>
        <v>0.60459492140266025</v>
      </c>
      <c r="I437" s="40">
        <v>500</v>
      </c>
      <c r="J437" s="63">
        <f t="shared" si="33"/>
        <v>0</v>
      </c>
      <c r="K437" s="39">
        <f t="shared" si="34"/>
        <v>500</v>
      </c>
      <c r="L437" s="38">
        <v>3</v>
      </c>
    </row>
    <row r="438" spans="1:12" customFormat="1" x14ac:dyDescent="0.2">
      <c r="A438" s="299"/>
      <c r="B438" s="83" t="s">
        <v>67</v>
      </c>
      <c r="C438" s="84" t="s">
        <v>229</v>
      </c>
      <c r="D438" s="85" t="s">
        <v>283</v>
      </c>
      <c r="E438" s="306"/>
      <c r="F438" s="162">
        <v>3106</v>
      </c>
      <c r="G438" s="303"/>
      <c r="H438" s="162">
        <f>I438/F438</f>
        <v>0.74050225370251122</v>
      </c>
      <c r="I438" s="40">
        <v>2300</v>
      </c>
      <c r="J438" s="63">
        <f t="shared" si="33"/>
        <v>0</v>
      </c>
      <c r="K438" s="39">
        <f t="shared" si="34"/>
        <v>2300</v>
      </c>
      <c r="L438" s="38">
        <v>14</v>
      </c>
    </row>
    <row r="439" spans="1:12" customFormat="1" x14ac:dyDescent="0.2">
      <c r="A439" s="299"/>
      <c r="B439" s="83" t="s">
        <v>67</v>
      </c>
      <c r="C439" s="84" t="s">
        <v>229</v>
      </c>
      <c r="D439" s="85" t="s">
        <v>284</v>
      </c>
      <c r="E439" s="306"/>
      <c r="F439" s="162">
        <v>1330</v>
      </c>
      <c r="G439" s="303"/>
      <c r="H439" s="162">
        <f>I439/F439</f>
        <v>0.67669172932330823</v>
      </c>
      <c r="I439" s="40">
        <v>900</v>
      </c>
      <c r="J439" s="63">
        <f t="shared" si="33"/>
        <v>0</v>
      </c>
      <c r="K439" s="39">
        <f t="shared" si="34"/>
        <v>900</v>
      </c>
      <c r="L439" s="38">
        <v>8</v>
      </c>
    </row>
    <row r="440" spans="1:12" customFormat="1" x14ac:dyDescent="0.2">
      <c r="A440" s="299"/>
      <c r="B440" s="83" t="s">
        <v>67</v>
      </c>
      <c r="C440" s="84" t="s">
        <v>229</v>
      </c>
      <c r="D440" s="85" t="s">
        <v>285</v>
      </c>
      <c r="E440" s="307"/>
      <c r="F440" s="162">
        <v>3354</v>
      </c>
      <c r="G440" s="304"/>
      <c r="H440" s="162">
        <f>I440/F440</f>
        <v>0.7155635062611807</v>
      </c>
      <c r="I440" s="40">
        <v>2400</v>
      </c>
      <c r="J440" s="63">
        <f t="shared" si="33"/>
        <v>0</v>
      </c>
      <c r="K440" s="39">
        <f t="shared" si="34"/>
        <v>2400</v>
      </c>
      <c r="L440" s="38">
        <v>17</v>
      </c>
    </row>
    <row r="441" spans="1:12" customFormat="1" x14ac:dyDescent="0.2">
      <c r="A441" s="299"/>
      <c r="B441" s="49" t="s">
        <v>67</v>
      </c>
      <c r="C441" s="58" t="s">
        <v>232</v>
      </c>
      <c r="D441" s="59" t="s">
        <v>276</v>
      </c>
      <c r="E441" s="305">
        <f>15379.854237+6427.018741</f>
        <v>21806.872977999999</v>
      </c>
      <c r="F441" s="162">
        <v>491</v>
      </c>
      <c r="G441" s="302">
        <f>SUM(K441:K446)/E441</f>
        <v>0.4507753133572639</v>
      </c>
      <c r="H441" s="162">
        <f t="shared" si="35"/>
        <v>0.6313645621181263</v>
      </c>
      <c r="I441" s="40">
        <v>0</v>
      </c>
      <c r="J441" s="63">
        <f t="shared" si="33"/>
        <v>310</v>
      </c>
      <c r="K441" s="39">
        <f t="shared" si="34"/>
        <v>310</v>
      </c>
      <c r="L441" s="38">
        <v>0</v>
      </c>
    </row>
    <row r="442" spans="1:12" customFormat="1" x14ac:dyDescent="0.2">
      <c r="A442" s="299"/>
      <c r="B442" s="49" t="s">
        <v>67</v>
      </c>
      <c r="C442" s="58" t="s">
        <v>232</v>
      </c>
      <c r="D442" s="59" t="s">
        <v>277</v>
      </c>
      <c r="E442" s="306"/>
      <c r="F442" s="162">
        <v>419</v>
      </c>
      <c r="G442" s="303"/>
      <c r="H442" s="162">
        <f t="shared" si="35"/>
        <v>0.73985680190930792</v>
      </c>
      <c r="I442" s="40">
        <v>0</v>
      </c>
      <c r="J442" s="63">
        <f t="shared" si="33"/>
        <v>310</v>
      </c>
      <c r="K442" s="39">
        <f t="shared" si="34"/>
        <v>310</v>
      </c>
      <c r="L442" s="38">
        <v>0</v>
      </c>
    </row>
    <row r="443" spans="1:12" customFormat="1" x14ac:dyDescent="0.2">
      <c r="A443" s="299"/>
      <c r="B443" s="49" t="s">
        <v>67</v>
      </c>
      <c r="C443" s="58" t="s">
        <v>232</v>
      </c>
      <c r="D443" s="59" t="s">
        <v>278</v>
      </c>
      <c r="E443" s="306"/>
      <c r="F443" s="162">
        <v>1657</v>
      </c>
      <c r="G443" s="303"/>
      <c r="H443" s="162">
        <f t="shared" si="35"/>
        <v>0.18708509354254677</v>
      </c>
      <c r="I443" s="40">
        <v>0</v>
      </c>
      <c r="J443" s="63">
        <f t="shared" si="33"/>
        <v>310</v>
      </c>
      <c r="K443" s="39">
        <f t="shared" si="34"/>
        <v>310</v>
      </c>
      <c r="L443" s="38">
        <v>0</v>
      </c>
    </row>
    <row r="444" spans="1:12" customFormat="1" x14ac:dyDescent="0.2">
      <c r="A444" s="299"/>
      <c r="B444" s="83" t="s">
        <v>67</v>
      </c>
      <c r="C444" s="84" t="s">
        <v>232</v>
      </c>
      <c r="D444" s="85" t="s">
        <v>279</v>
      </c>
      <c r="E444" s="306"/>
      <c r="F444" s="162">
        <v>6920</v>
      </c>
      <c r="G444" s="303"/>
      <c r="H444" s="162">
        <f>I444/F444</f>
        <v>0.5057803468208093</v>
      </c>
      <c r="I444" s="40">
        <v>3500</v>
      </c>
      <c r="J444" s="63">
        <f t="shared" si="33"/>
        <v>0</v>
      </c>
      <c r="K444" s="39">
        <f t="shared" si="34"/>
        <v>3500.0000000000005</v>
      </c>
      <c r="L444" s="38">
        <v>19</v>
      </c>
    </row>
    <row r="445" spans="1:12" customFormat="1" x14ac:dyDescent="0.2">
      <c r="A445" s="299"/>
      <c r="B445" s="83" t="s">
        <v>67</v>
      </c>
      <c r="C445" s="84" t="s">
        <v>232</v>
      </c>
      <c r="D445" s="85" t="s">
        <v>280</v>
      </c>
      <c r="E445" s="306"/>
      <c r="F445" s="162">
        <v>5013</v>
      </c>
      <c r="G445" s="303"/>
      <c r="H445" s="162">
        <f>I445/F445</f>
        <v>0.47875523638539796</v>
      </c>
      <c r="I445" s="40">
        <v>2400</v>
      </c>
      <c r="J445" s="63">
        <f t="shared" si="33"/>
        <v>0</v>
      </c>
      <c r="K445" s="39">
        <f t="shared" si="34"/>
        <v>2400</v>
      </c>
      <c r="L445" s="38">
        <v>13</v>
      </c>
    </row>
    <row r="446" spans="1:12" customFormat="1" x14ac:dyDescent="0.2">
      <c r="A446" s="299"/>
      <c r="B446" s="83" t="s">
        <v>67</v>
      </c>
      <c r="C446" s="84" t="s">
        <v>232</v>
      </c>
      <c r="D446" s="85" t="s">
        <v>281</v>
      </c>
      <c r="E446" s="307"/>
      <c r="F446" s="162">
        <v>6437</v>
      </c>
      <c r="G446" s="304"/>
      <c r="H446" s="162">
        <f>I446/F446</f>
        <v>0.46605561597017242</v>
      </c>
      <c r="I446" s="40">
        <v>3000</v>
      </c>
      <c r="J446" s="63">
        <f t="shared" si="33"/>
        <v>0</v>
      </c>
      <c r="K446" s="39">
        <f t="shared" si="34"/>
        <v>3000</v>
      </c>
      <c r="L446" s="38">
        <v>16</v>
      </c>
    </row>
    <row r="447" spans="1:12" customFormat="1" x14ac:dyDescent="0.2">
      <c r="A447" s="299"/>
      <c r="B447" s="49" t="s">
        <v>67</v>
      </c>
      <c r="C447" s="58" t="s">
        <v>218</v>
      </c>
      <c r="D447" s="59" t="s">
        <v>287</v>
      </c>
      <c r="E447" s="305">
        <v>7692.0720920000003</v>
      </c>
      <c r="F447" s="162">
        <v>361</v>
      </c>
      <c r="G447" s="302">
        <f>SUM(K447:K453)/E447</f>
        <v>0.46021409545572417</v>
      </c>
      <c r="H447" s="162">
        <f t="shared" si="35"/>
        <v>0.8587257617728532</v>
      </c>
      <c r="I447" s="40">
        <v>0</v>
      </c>
      <c r="J447" s="63">
        <f t="shared" ref="J447:J510" si="36">K447-I447</f>
        <v>310</v>
      </c>
      <c r="K447" s="39">
        <f t="shared" ref="K447:K510" si="37">F447*H447</f>
        <v>310</v>
      </c>
      <c r="L447" s="38">
        <v>0</v>
      </c>
    </row>
    <row r="448" spans="1:12" customFormat="1" x14ac:dyDescent="0.2">
      <c r="A448" s="299"/>
      <c r="B448" s="49" t="s">
        <v>67</v>
      </c>
      <c r="C448" s="58" t="s">
        <v>218</v>
      </c>
      <c r="D448" s="59" t="s">
        <v>288</v>
      </c>
      <c r="E448" s="306"/>
      <c r="F448" s="162">
        <v>458</v>
      </c>
      <c r="G448" s="303"/>
      <c r="H448" s="162">
        <f t="shared" si="35"/>
        <v>0.67685589519650657</v>
      </c>
      <c r="I448" s="40">
        <v>0</v>
      </c>
      <c r="J448" s="63">
        <f t="shared" si="36"/>
        <v>310</v>
      </c>
      <c r="K448" s="39">
        <f t="shared" si="37"/>
        <v>310</v>
      </c>
      <c r="L448" s="38">
        <v>0</v>
      </c>
    </row>
    <row r="449" spans="1:12" customFormat="1" x14ac:dyDescent="0.2">
      <c r="A449" s="299"/>
      <c r="B449" s="49" t="s">
        <v>67</v>
      </c>
      <c r="C449" s="58" t="s">
        <v>218</v>
      </c>
      <c r="D449" s="59" t="s">
        <v>289</v>
      </c>
      <c r="E449" s="306"/>
      <c r="F449" s="162">
        <v>371</v>
      </c>
      <c r="G449" s="303"/>
      <c r="H449" s="162">
        <f t="shared" si="35"/>
        <v>0.83557951482479786</v>
      </c>
      <c r="I449" s="40">
        <v>0</v>
      </c>
      <c r="J449" s="63">
        <f t="shared" si="36"/>
        <v>310</v>
      </c>
      <c r="K449" s="39">
        <f t="shared" si="37"/>
        <v>310</v>
      </c>
      <c r="L449" s="38">
        <v>0</v>
      </c>
    </row>
    <row r="450" spans="1:12" customFormat="1" x14ac:dyDescent="0.2">
      <c r="A450" s="299"/>
      <c r="B450" s="49" t="s">
        <v>67</v>
      </c>
      <c r="C450" s="58" t="s">
        <v>218</v>
      </c>
      <c r="D450" s="59" t="s">
        <v>290</v>
      </c>
      <c r="E450" s="306"/>
      <c r="F450" s="162">
        <v>369</v>
      </c>
      <c r="G450" s="303"/>
      <c r="H450" s="162">
        <f t="shared" si="35"/>
        <v>0.84010840108401086</v>
      </c>
      <c r="I450" s="40">
        <v>0</v>
      </c>
      <c r="J450" s="63">
        <f t="shared" si="36"/>
        <v>310</v>
      </c>
      <c r="K450" s="39">
        <f t="shared" si="37"/>
        <v>310</v>
      </c>
      <c r="L450" s="38">
        <v>0</v>
      </c>
    </row>
    <row r="451" spans="1:12" customFormat="1" x14ac:dyDescent="0.2">
      <c r="A451" s="299"/>
      <c r="B451" s="83" t="s">
        <v>67</v>
      </c>
      <c r="C451" s="84" t="s">
        <v>218</v>
      </c>
      <c r="D451" s="85" t="s">
        <v>291</v>
      </c>
      <c r="E451" s="306"/>
      <c r="F451" s="162">
        <v>917</v>
      </c>
      <c r="G451" s="303"/>
      <c r="H451" s="162">
        <f>I451/F451</f>
        <v>0.4362050163576881</v>
      </c>
      <c r="I451" s="40">
        <v>400</v>
      </c>
      <c r="J451" s="63">
        <f t="shared" si="36"/>
        <v>0</v>
      </c>
      <c r="K451" s="39">
        <f t="shared" si="37"/>
        <v>400</v>
      </c>
      <c r="L451" s="38">
        <v>3</v>
      </c>
    </row>
    <row r="452" spans="1:12" customFormat="1" x14ac:dyDescent="0.2">
      <c r="A452" s="299"/>
      <c r="B452" s="83" t="s">
        <v>67</v>
      </c>
      <c r="C452" s="84" t="s">
        <v>218</v>
      </c>
      <c r="D452" s="85" t="s">
        <v>292</v>
      </c>
      <c r="E452" s="306"/>
      <c r="F452" s="162">
        <v>1002</v>
      </c>
      <c r="G452" s="303"/>
      <c r="H452" s="162">
        <f>I452/F452</f>
        <v>0.44910179640718562</v>
      </c>
      <c r="I452" s="40">
        <v>450</v>
      </c>
      <c r="J452" s="63">
        <f t="shared" si="36"/>
        <v>0</v>
      </c>
      <c r="K452" s="39">
        <f t="shared" si="37"/>
        <v>450</v>
      </c>
      <c r="L452" s="38">
        <v>3</v>
      </c>
    </row>
    <row r="453" spans="1:12" customFormat="1" x14ac:dyDescent="0.2">
      <c r="A453" s="299"/>
      <c r="B453" s="83" t="s">
        <v>67</v>
      </c>
      <c r="C453" s="84" t="s">
        <v>218</v>
      </c>
      <c r="D453" s="85" t="s">
        <v>293</v>
      </c>
      <c r="E453" s="307"/>
      <c r="F453" s="162">
        <v>3320</v>
      </c>
      <c r="G453" s="304"/>
      <c r="H453" s="162">
        <f>I453/F453</f>
        <v>0.43674698795180722</v>
      </c>
      <c r="I453" s="40">
        <v>1450</v>
      </c>
      <c r="J453" s="63">
        <f t="shared" si="36"/>
        <v>0</v>
      </c>
      <c r="K453" s="39">
        <f t="shared" si="37"/>
        <v>1450</v>
      </c>
      <c r="L453" s="38">
        <v>10</v>
      </c>
    </row>
    <row r="454" spans="1:12" customFormat="1" x14ac:dyDescent="0.2">
      <c r="A454" s="299"/>
      <c r="B454" s="49" t="s">
        <v>67</v>
      </c>
      <c r="C454" s="58" t="s">
        <v>228</v>
      </c>
      <c r="D454" s="59" t="s">
        <v>287</v>
      </c>
      <c r="E454" s="305">
        <v>13029.379865000001</v>
      </c>
      <c r="F454" s="162">
        <v>625</v>
      </c>
      <c r="G454" s="302">
        <f>SUM(K454:K459)/E454</f>
        <v>0.31751319271249134</v>
      </c>
      <c r="H454" s="162">
        <f t="shared" si="35"/>
        <v>0.496</v>
      </c>
      <c r="I454" s="40">
        <v>0</v>
      </c>
      <c r="J454" s="63">
        <f t="shared" si="36"/>
        <v>310</v>
      </c>
      <c r="K454" s="39">
        <f t="shared" si="37"/>
        <v>310</v>
      </c>
      <c r="L454" s="38">
        <v>0</v>
      </c>
    </row>
    <row r="455" spans="1:12" customFormat="1" x14ac:dyDescent="0.2">
      <c r="A455" s="299"/>
      <c r="B455" s="49" t="s">
        <v>67</v>
      </c>
      <c r="C455" s="58" t="s">
        <v>228</v>
      </c>
      <c r="D455" s="59" t="s">
        <v>288</v>
      </c>
      <c r="E455" s="306"/>
      <c r="F455" s="162">
        <v>458</v>
      </c>
      <c r="G455" s="303"/>
      <c r="H455" s="162">
        <f t="shared" si="35"/>
        <v>0.67685589519650657</v>
      </c>
      <c r="I455" s="40">
        <v>0</v>
      </c>
      <c r="J455" s="63">
        <f t="shared" si="36"/>
        <v>310</v>
      </c>
      <c r="K455" s="39">
        <f t="shared" si="37"/>
        <v>310</v>
      </c>
      <c r="L455" s="38">
        <v>0</v>
      </c>
    </row>
    <row r="456" spans="1:12" customFormat="1" x14ac:dyDescent="0.2">
      <c r="A456" s="299"/>
      <c r="B456" s="49" t="s">
        <v>67</v>
      </c>
      <c r="C456" s="58" t="s">
        <v>228</v>
      </c>
      <c r="D456" s="59" t="s">
        <v>289</v>
      </c>
      <c r="E456" s="306"/>
      <c r="F456" s="162">
        <v>577</v>
      </c>
      <c r="G456" s="303"/>
      <c r="H456" s="162">
        <f t="shared" si="35"/>
        <v>0.53726169844020799</v>
      </c>
      <c r="I456" s="40">
        <v>0</v>
      </c>
      <c r="J456" s="63">
        <f t="shared" si="36"/>
        <v>310</v>
      </c>
      <c r="K456" s="39">
        <f t="shared" si="37"/>
        <v>310</v>
      </c>
      <c r="L456" s="38">
        <v>0</v>
      </c>
    </row>
    <row r="457" spans="1:12" customFormat="1" x14ac:dyDescent="0.2">
      <c r="A457" s="299"/>
      <c r="B457" s="83" t="s">
        <v>67</v>
      </c>
      <c r="C457" s="84" t="s">
        <v>228</v>
      </c>
      <c r="D457" s="85" t="s">
        <v>290</v>
      </c>
      <c r="E457" s="306"/>
      <c r="F457" s="162">
        <v>1029</v>
      </c>
      <c r="G457" s="303"/>
      <c r="H457" s="162">
        <f>I457/F457</f>
        <v>0.48590864917395532</v>
      </c>
      <c r="I457" s="40">
        <v>500</v>
      </c>
      <c r="J457" s="63">
        <f t="shared" si="36"/>
        <v>0</v>
      </c>
      <c r="K457" s="39">
        <f t="shared" si="37"/>
        <v>500</v>
      </c>
      <c r="L457" s="38">
        <v>6</v>
      </c>
    </row>
    <row r="458" spans="1:12" customFormat="1" x14ac:dyDescent="0.2">
      <c r="A458" s="299"/>
      <c r="B458" s="83" t="s">
        <v>67</v>
      </c>
      <c r="C458" s="84" t="s">
        <v>228</v>
      </c>
      <c r="D458" s="85" t="s">
        <v>291</v>
      </c>
      <c r="E458" s="306"/>
      <c r="F458" s="162">
        <v>3437</v>
      </c>
      <c r="G458" s="303"/>
      <c r="H458" s="162">
        <f>I458/F458</f>
        <v>0.29095141111434392</v>
      </c>
      <c r="I458" s="40">
        <v>1000</v>
      </c>
      <c r="J458" s="63">
        <f t="shared" si="36"/>
        <v>0</v>
      </c>
      <c r="K458" s="39">
        <f t="shared" si="37"/>
        <v>1000</v>
      </c>
      <c r="L458" s="38">
        <v>7</v>
      </c>
    </row>
    <row r="459" spans="1:12" customFormat="1" x14ac:dyDescent="0.2">
      <c r="A459" s="299"/>
      <c r="B459" s="83" t="s">
        <v>67</v>
      </c>
      <c r="C459" s="84" t="s">
        <v>228</v>
      </c>
      <c r="D459" s="85" t="s">
        <v>292</v>
      </c>
      <c r="E459" s="307"/>
      <c r="F459" s="162">
        <v>5703</v>
      </c>
      <c r="G459" s="304"/>
      <c r="H459" s="162">
        <f>I459/F459</f>
        <v>0.29931614939505524</v>
      </c>
      <c r="I459" s="40">
        <v>1707</v>
      </c>
      <c r="J459" s="63">
        <f t="shared" si="36"/>
        <v>0</v>
      </c>
      <c r="K459" s="39">
        <f t="shared" si="37"/>
        <v>1707</v>
      </c>
      <c r="L459" s="38">
        <v>12</v>
      </c>
    </row>
    <row r="460" spans="1:12" customFormat="1" x14ac:dyDescent="0.2">
      <c r="A460" s="299"/>
      <c r="B460" s="49" t="s">
        <v>67</v>
      </c>
      <c r="C460" s="58" t="s">
        <v>229</v>
      </c>
      <c r="D460" s="59" t="s">
        <v>287</v>
      </c>
      <c r="E460" s="305">
        <v>10490.406707</v>
      </c>
      <c r="F460" s="162">
        <v>603</v>
      </c>
      <c r="G460" s="302">
        <f>SUM(K460:K465)/E460</f>
        <v>0.3860670146656498</v>
      </c>
      <c r="H460" s="162">
        <f t="shared" si="35"/>
        <v>0.51409618573797677</v>
      </c>
      <c r="I460" s="40">
        <v>0</v>
      </c>
      <c r="J460" s="63">
        <f t="shared" si="36"/>
        <v>310</v>
      </c>
      <c r="K460" s="39">
        <f t="shared" si="37"/>
        <v>310</v>
      </c>
      <c r="L460" s="38">
        <v>0</v>
      </c>
    </row>
    <row r="461" spans="1:12" customFormat="1" x14ac:dyDescent="0.2">
      <c r="A461" s="299"/>
      <c r="B461" s="49" t="s">
        <v>67</v>
      </c>
      <c r="C461" s="58" t="s">
        <v>229</v>
      </c>
      <c r="D461" s="59" t="s">
        <v>288</v>
      </c>
      <c r="E461" s="306"/>
      <c r="F461" s="162">
        <v>502</v>
      </c>
      <c r="G461" s="303"/>
      <c r="H461" s="162">
        <f t="shared" si="35"/>
        <v>0.61752988047808766</v>
      </c>
      <c r="I461" s="40">
        <v>0</v>
      </c>
      <c r="J461" s="63">
        <f t="shared" si="36"/>
        <v>310</v>
      </c>
      <c r="K461" s="39">
        <f t="shared" si="37"/>
        <v>310</v>
      </c>
      <c r="L461" s="38">
        <v>0</v>
      </c>
    </row>
    <row r="462" spans="1:12" customFormat="1" x14ac:dyDescent="0.2">
      <c r="A462" s="299"/>
      <c r="B462" s="83" t="s">
        <v>67</v>
      </c>
      <c r="C462" s="84" t="s">
        <v>229</v>
      </c>
      <c r="D462" s="85" t="s">
        <v>289</v>
      </c>
      <c r="E462" s="306"/>
      <c r="F462" s="162">
        <v>440</v>
      </c>
      <c r="G462" s="303"/>
      <c r="H462" s="162">
        <v>0</v>
      </c>
      <c r="I462" s="40">
        <v>0</v>
      </c>
      <c r="J462" s="63">
        <v>0</v>
      </c>
      <c r="K462" s="39">
        <v>0</v>
      </c>
      <c r="L462" s="38">
        <v>0</v>
      </c>
    </row>
    <row r="463" spans="1:12" customFormat="1" x14ac:dyDescent="0.2">
      <c r="A463" s="299"/>
      <c r="B463" s="83" t="s">
        <v>67</v>
      </c>
      <c r="C463" s="84" t="s">
        <v>229</v>
      </c>
      <c r="D463" s="85" t="s">
        <v>290</v>
      </c>
      <c r="E463" s="306"/>
      <c r="F463" s="162">
        <v>1399</v>
      </c>
      <c r="G463" s="303"/>
      <c r="H463" s="162">
        <f>620/F463</f>
        <v>0.44317369549678343</v>
      </c>
      <c r="I463" s="40">
        <v>0</v>
      </c>
      <c r="J463" s="63">
        <f>620</f>
        <v>620</v>
      </c>
      <c r="K463" s="39">
        <f t="shared" si="37"/>
        <v>620</v>
      </c>
      <c r="L463" s="38">
        <v>0</v>
      </c>
    </row>
    <row r="464" spans="1:12" customFormat="1" x14ac:dyDescent="0.2">
      <c r="A464" s="299"/>
      <c r="B464" s="83" t="s">
        <v>67</v>
      </c>
      <c r="C464" s="84" t="s">
        <v>229</v>
      </c>
      <c r="D464" s="85" t="s">
        <v>291</v>
      </c>
      <c r="E464" s="306"/>
      <c r="F464" s="162">
        <v>262</v>
      </c>
      <c r="G464" s="303"/>
      <c r="H464" s="162">
        <v>0</v>
      </c>
      <c r="I464" s="40">
        <v>0</v>
      </c>
      <c r="J464" s="63">
        <v>0</v>
      </c>
      <c r="K464" s="39">
        <f t="shared" si="37"/>
        <v>0</v>
      </c>
      <c r="L464" s="38">
        <v>0</v>
      </c>
    </row>
    <row r="465" spans="1:12" customFormat="1" x14ac:dyDescent="0.2">
      <c r="A465" s="299"/>
      <c r="B465" s="83" t="s">
        <v>67</v>
      </c>
      <c r="C465" s="84" t="s">
        <v>229</v>
      </c>
      <c r="D465" s="85" t="s">
        <v>292</v>
      </c>
      <c r="E465" s="306"/>
      <c r="F465" s="162">
        <v>6515</v>
      </c>
      <c r="G465" s="303"/>
      <c r="H465" s="162">
        <f>(I465+J465)/F465</f>
        <v>0.43131235610130469</v>
      </c>
      <c r="I465" s="40">
        <v>2500</v>
      </c>
      <c r="J465" s="63">
        <v>310</v>
      </c>
      <c r="K465" s="39">
        <f t="shared" si="37"/>
        <v>2810</v>
      </c>
      <c r="L465" s="38">
        <v>18</v>
      </c>
    </row>
    <row r="466" spans="1:12" customFormat="1" x14ac:dyDescent="0.2">
      <c r="A466" s="299"/>
      <c r="B466" s="49" t="s">
        <v>67</v>
      </c>
      <c r="C466" s="58" t="s">
        <v>232</v>
      </c>
      <c r="D466" s="59" t="s">
        <v>287</v>
      </c>
      <c r="E466" s="305">
        <v>17719.277023999999</v>
      </c>
      <c r="F466" s="162">
        <v>918</v>
      </c>
      <c r="G466" s="302">
        <f>SUM(K466:K478)/E466</f>
        <v>0.30926769712881486</v>
      </c>
      <c r="H466" s="162">
        <f t="shared" si="35"/>
        <v>0.33769063180827885</v>
      </c>
      <c r="I466" s="40">
        <v>0</v>
      </c>
      <c r="J466" s="63">
        <f t="shared" si="36"/>
        <v>310</v>
      </c>
      <c r="K466" s="39">
        <f t="shared" si="37"/>
        <v>310</v>
      </c>
      <c r="L466" s="38">
        <v>0</v>
      </c>
    </row>
    <row r="467" spans="1:12" customFormat="1" x14ac:dyDescent="0.2">
      <c r="A467" s="299"/>
      <c r="B467" s="49" t="s">
        <v>67</v>
      </c>
      <c r="C467" s="58" t="s">
        <v>232</v>
      </c>
      <c r="D467" s="59" t="s">
        <v>288</v>
      </c>
      <c r="E467" s="306"/>
      <c r="F467" s="162">
        <v>720</v>
      </c>
      <c r="G467" s="303"/>
      <c r="H467" s="162">
        <f t="shared" si="35"/>
        <v>0.43055555555555558</v>
      </c>
      <c r="I467" s="40">
        <v>0</v>
      </c>
      <c r="J467" s="63">
        <f t="shared" si="36"/>
        <v>310</v>
      </c>
      <c r="K467" s="39">
        <f t="shared" si="37"/>
        <v>310</v>
      </c>
      <c r="L467" s="38">
        <v>0</v>
      </c>
    </row>
    <row r="468" spans="1:12" customFormat="1" x14ac:dyDescent="0.2">
      <c r="A468" s="299"/>
      <c r="B468" s="49" t="s">
        <v>67</v>
      </c>
      <c r="C468" s="58" t="s">
        <v>232</v>
      </c>
      <c r="D468" s="59" t="s">
        <v>289</v>
      </c>
      <c r="E468" s="306"/>
      <c r="F468" s="162">
        <v>770</v>
      </c>
      <c r="G468" s="303"/>
      <c r="H468" s="162">
        <f t="shared" si="35"/>
        <v>0.40259740259740262</v>
      </c>
      <c r="I468" s="40">
        <v>0</v>
      </c>
      <c r="J468" s="63">
        <f t="shared" si="36"/>
        <v>310</v>
      </c>
      <c r="K468" s="39">
        <f t="shared" si="37"/>
        <v>310</v>
      </c>
      <c r="L468" s="38">
        <v>0</v>
      </c>
    </row>
    <row r="469" spans="1:12" customFormat="1" x14ac:dyDescent="0.2">
      <c r="A469" s="299"/>
      <c r="B469" s="49" t="s">
        <v>67</v>
      </c>
      <c r="C469" s="58" t="s">
        <v>232</v>
      </c>
      <c r="D469" s="59" t="s">
        <v>290</v>
      </c>
      <c r="E469" s="306"/>
      <c r="F469" s="162">
        <v>766</v>
      </c>
      <c r="G469" s="303"/>
      <c r="H469" s="162">
        <f t="shared" si="35"/>
        <v>0.40469973890339428</v>
      </c>
      <c r="I469" s="40">
        <v>0</v>
      </c>
      <c r="J469" s="63">
        <f t="shared" si="36"/>
        <v>310</v>
      </c>
      <c r="K469" s="39">
        <f t="shared" si="37"/>
        <v>310</v>
      </c>
      <c r="L469" s="38">
        <v>0</v>
      </c>
    </row>
    <row r="470" spans="1:12" customFormat="1" x14ac:dyDescent="0.2">
      <c r="A470" s="299"/>
      <c r="B470" s="49" t="s">
        <v>67</v>
      </c>
      <c r="C470" s="58" t="s">
        <v>232</v>
      </c>
      <c r="D470" s="59" t="s">
        <v>291</v>
      </c>
      <c r="E470" s="306"/>
      <c r="F470" s="162">
        <v>737</v>
      </c>
      <c r="G470" s="303"/>
      <c r="H470" s="162">
        <f t="shared" si="35"/>
        <v>0.42062415196743552</v>
      </c>
      <c r="I470" s="40">
        <v>0</v>
      </c>
      <c r="J470" s="63">
        <f t="shared" si="36"/>
        <v>310</v>
      </c>
      <c r="K470" s="39">
        <f t="shared" si="37"/>
        <v>310</v>
      </c>
      <c r="L470" s="38">
        <v>0</v>
      </c>
    </row>
    <row r="471" spans="1:12" customFormat="1" x14ac:dyDescent="0.2">
      <c r="A471" s="299"/>
      <c r="B471" s="49" t="s">
        <v>67</v>
      </c>
      <c r="C471" s="58" t="s">
        <v>232</v>
      </c>
      <c r="D471" s="59" t="s">
        <v>292</v>
      </c>
      <c r="E471" s="306"/>
      <c r="F471" s="162">
        <v>881</v>
      </c>
      <c r="G471" s="303"/>
      <c r="H471" s="162">
        <f t="shared" si="35"/>
        <v>0.35187287173666287</v>
      </c>
      <c r="I471" s="40">
        <v>0</v>
      </c>
      <c r="J471" s="63">
        <f t="shared" si="36"/>
        <v>310</v>
      </c>
      <c r="K471" s="39">
        <f t="shared" si="37"/>
        <v>310</v>
      </c>
      <c r="L471" s="38">
        <v>0</v>
      </c>
    </row>
    <row r="472" spans="1:12" customFormat="1" x14ac:dyDescent="0.2">
      <c r="A472" s="299"/>
      <c r="B472" s="49" t="s">
        <v>67</v>
      </c>
      <c r="C472" s="58" t="s">
        <v>232</v>
      </c>
      <c r="D472" s="59" t="s">
        <v>293</v>
      </c>
      <c r="E472" s="306"/>
      <c r="F472" s="162">
        <v>1228</v>
      </c>
      <c r="G472" s="303"/>
      <c r="H472" s="162">
        <f t="shared" si="35"/>
        <v>0.25244299674267101</v>
      </c>
      <c r="I472" s="40">
        <v>0</v>
      </c>
      <c r="J472" s="63">
        <f t="shared" si="36"/>
        <v>310</v>
      </c>
      <c r="K472" s="39">
        <f t="shared" si="37"/>
        <v>310</v>
      </c>
      <c r="L472" s="38">
        <v>0</v>
      </c>
    </row>
    <row r="473" spans="1:12" customFormat="1" x14ac:dyDescent="0.2">
      <c r="A473" s="299"/>
      <c r="B473" s="49" t="s">
        <v>67</v>
      </c>
      <c r="C473" s="58" t="s">
        <v>232</v>
      </c>
      <c r="D473" s="59" t="s">
        <v>294</v>
      </c>
      <c r="E473" s="306"/>
      <c r="F473" s="162">
        <v>1020</v>
      </c>
      <c r="G473" s="303"/>
      <c r="H473" s="162">
        <f t="shared" si="35"/>
        <v>0.30392156862745096</v>
      </c>
      <c r="I473" s="40">
        <v>0</v>
      </c>
      <c r="J473" s="63">
        <f t="shared" si="36"/>
        <v>310</v>
      </c>
      <c r="K473" s="39">
        <f t="shared" si="37"/>
        <v>310</v>
      </c>
      <c r="L473" s="38">
        <v>0</v>
      </c>
    </row>
    <row r="474" spans="1:12" customFormat="1" x14ac:dyDescent="0.2">
      <c r="A474" s="299"/>
      <c r="B474" s="83" t="s">
        <v>67</v>
      </c>
      <c r="C474" s="84" t="s">
        <v>232</v>
      </c>
      <c r="D474" s="85" t="s">
        <v>522</v>
      </c>
      <c r="E474" s="306"/>
      <c r="F474" s="162">
        <v>1541</v>
      </c>
      <c r="G474" s="303"/>
      <c r="H474" s="162">
        <f>I474/F474</f>
        <v>0.45425048669695001</v>
      </c>
      <c r="I474" s="40">
        <v>700</v>
      </c>
      <c r="J474" s="63">
        <f t="shared" si="36"/>
        <v>0</v>
      </c>
      <c r="K474" s="39">
        <f t="shared" si="37"/>
        <v>700</v>
      </c>
      <c r="L474" s="38">
        <v>4</v>
      </c>
    </row>
    <row r="475" spans="1:12" customFormat="1" x14ac:dyDescent="0.2">
      <c r="A475" s="299"/>
      <c r="B475" s="83" t="s">
        <v>67</v>
      </c>
      <c r="C475" s="84" t="s">
        <v>232</v>
      </c>
      <c r="D475" s="85" t="s">
        <v>523</v>
      </c>
      <c r="E475" s="306"/>
      <c r="F475" s="162">
        <v>900</v>
      </c>
      <c r="G475" s="303"/>
      <c r="H475" s="162">
        <f>I475/F475</f>
        <v>0.3888888888888889</v>
      </c>
      <c r="I475" s="40">
        <v>350</v>
      </c>
      <c r="J475" s="63">
        <f t="shared" si="36"/>
        <v>0</v>
      </c>
      <c r="K475" s="39">
        <f t="shared" si="37"/>
        <v>350</v>
      </c>
      <c r="L475" s="38">
        <v>2</v>
      </c>
    </row>
    <row r="476" spans="1:12" customFormat="1" x14ac:dyDescent="0.2">
      <c r="A476" s="299"/>
      <c r="B476" s="83" t="s">
        <v>67</v>
      </c>
      <c r="C476" s="84" t="s">
        <v>232</v>
      </c>
      <c r="D476" s="85" t="s">
        <v>524</v>
      </c>
      <c r="E476" s="306"/>
      <c r="F476" s="162">
        <v>3045</v>
      </c>
      <c r="G476" s="303"/>
      <c r="H476" s="162">
        <f>I476/F476</f>
        <v>0.29556650246305421</v>
      </c>
      <c r="I476" s="40">
        <v>900</v>
      </c>
      <c r="J476" s="63">
        <f t="shared" si="36"/>
        <v>0</v>
      </c>
      <c r="K476" s="39">
        <f t="shared" si="37"/>
        <v>900.00000000000011</v>
      </c>
      <c r="L476" s="38">
        <v>6</v>
      </c>
    </row>
    <row r="477" spans="1:12" customFormat="1" x14ac:dyDescent="0.2">
      <c r="A477" s="299"/>
      <c r="B477" s="83" t="s">
        <v>67</v>
      </c>
      <c r="C477" s="84" t="s">
        <v>232</v>
      </c>
      <c r="D477" s="85" t="s">
        <v>525</v>
      </c>
      <c r="E477" s="306"/>
      <c r="F477" s="162">
        <v>1420</v>
      </c>
      <c r="G477" s="303"/>
      <c r="H477" s="162">
        <f>I477/F477</f>
        <v>0.38732394366197181</v>
      </c>
      <c r="I477" s="40">
        <v>550</v>
      </c>
      <c r="J477" s="63">
        <f t="shared" si="36"/>
        <v>0</v>
      </c>
      <c r="K477" s="39">
        <f t="shared" si="37"/>
        <v>550</v>
      </c>
      <c r="L477" s="38">
        <v>4</v>
      </c>
    </row>
    <row r="478" spans="1:12" customFormat="1" x14ac:dyDescent="0.2">
      <c r="A478" s="299"/>
      <c r="B478" s="83" t="s">
        <v>67</v>
      </c>
      <c r="C478" s="84" t="s">
        <v>232</v>
      </c>
      <c r="D478" s="85" t="s">
        <v>526</v>
      </c>
      <c r="E478" s="307"/>
      <c r="F478" s="162">
        <v>1311</v>
      </c>
      <c r="G478" s="304"/>
      <c r="H478" s="162">
        <f>I478/F478</f>
        <v>0.38138825324180015</v>
      </c>
      <c r="I478" s="40">
        <v>500</v>
      </c>
      <c r="J478" s="63">
        <f t="shared" si="36"/>
        <v>0</v>
      </c>
      <c r="K478" s="39">
        <f t="shared" si="37"/>
        <v>500</v>
      </c>
      <c r="L478" s="38">
        <v>4</v>
      </c>
    </row>
    <row r="479" spans="1:12" customFormat="1" x14ac:dyDescent="0.2">
      <c r="A479" s="299"/>
      <c r="B479" s="49" t="s">
        <v>67</v>
      </c>
      <c r="C479" s="58" t="s">
        <v>218</v>
      </c>
      <c r="D479" s="59" t="s">
        <v>295</v>
      </c>
      <c r="E479" s="305">
        <v>12999.157046</v>
      </c>
      <c r="F479" s="162">
        <v>1731</v>
      </c>
      <c r="G479" s="302">
        <f>SUM(K479:K485)/E479</f>
        <v>0.29825010854784623</v>
      </c>
      <c r="H479" s="162">
        <f t="shared" si="35"/>
        <v>0.17908723281340266</v>
      </c>
      <c r="I479" s="40">
        <v>0</v>
      </c>
      <c r="J479" s="63">
        <f t="shared" si="36"/>
        <v>310</v>
      </c>
      <c r="K479" s="39">
        <f t="shared" si="37"/>
        <v>310</v>
      </c>
      <c r="L479" s="38">
        <v>0</v>
      </c>
    </row>
    <row r="480" spans="1:12" customFormat="1" x14ac:dyDescent="0.2">
      <c r="A480" s="299"/>
      <c r="B480" s="49" t="s">
        <v>67</v>
      </c>
      <c r="C480" s="58" t="s">
        <v>218</v>
      </c>
      <c r="D480" s="59" t="s">
        <v>296</v>
      </c>
      <c r="E480" s="306"/>
      <c r="F480" s="162">
        <v>1215</v>
      </c>
      <c r="G480" s="303"/>
      <c r="H480" s="162">
        <f t="shared" si="35"/>
        <v>0.2551440329218107</v>
      </c>
      <c r="I480" s="40">
        <v>0</v>
      </c>
      <c r="J480" s="63">
        <f t="shared" si="36"/>
        <v>310</v>
      </c>
      <c r="K480" s="39">
        <f t="shared" si="37"/>
        <v>310</v>
      </c>
      <c r="L480" s="38">
        <v>0</v>
      </c>
    </row>
    <row r="481" spans="1:12" customFormat="1" x14ac:dyDescent="0.2">
      <c r="A481" s="299"/>
      <c r="B481" s="49" t="s">
        <v>67</v>
      </c>
      <c r="C481" s="58" t="s">
        <v>218</v>
      </c>
      <c r="D481" s="59" t="s">
        <v>297</v>
      </c>
      <c r="E481" s="306"/>
      <c r="F481" s="162">
        <v>669</v>
      </c>
      <c r="G481" s="303"/>
      <c r="H481" s="162">
        <f t="shared" si="35"/>
        <v>0.46337817638266071</v>
      </c>
      <c r="I481" s="40">
        <v>0</v>
      </c>
      <c r="J481" s="63">
        <f t="shared" si="36"/>
        <v>310</v>
      </c>
      <c r="K481" s="39">
        <f t="shared" si="37"/>
        <v>310</v>
      </c>
      <c r="L481" s="38">
        <v>0</v>
      </c>
    </row>
    <row r="482" spans="1:12" customFormat="1" x14ac:dyDescent="0.2">
      <c r="A482" s="299"/>
      <c r="B482" s="49" t="s">
        <v>67</v>
      </c>
      <c r="C482" s="58" t="s">
        <v>218</v>
      </c>
      <c r="D482" s="59" t="s">
        <v>298</v>
      </c>
      <c r="E482" s="306"/>
      <c r="F482" s="162">
        <v>637</v>
      </c>
      <c r="G482" s="303"/>
      <c r="H482" s="162">
        <f t="shared" si="35"/>
        <v>0.48665620094191525</v>
      </c>
      <c r="I482" s="40">
        <v>0</v>
      </c>
      <c r="J482" s="63">
        <f t="shared" si="36"/>
        <v>310</v>
      </c>
      <c r="K482" s="39">
        <f t="shared" si="37"/>
        <v>310</v>
      </c>
      <c r="L482" s="38">
        <v>0</v>
      </c>
    </row>
    <row r="483" spans="1:12" customFormat="1" x14ac:dyDescent="0.2">
      <c r="A483" s="299"/>
      <c r="B483" s="83" t="s">
        <v>67</v>
      </c>
      <c r="C483" s="84" t="s">
        <v>218</v>
      </c>
      <c r="D483" s="85" t="s">
        <v>527</v>
      </c>
      <c r="E483" s="306"/>
      <c r="F483" s="162">
        <v>946</v>
      </c>
      <c r="G483" s="303"/>
      <c r="H483" s="162">
        <f>I483/F483</f>
        <v>0.41966173361522197</v>
      </c>
      <c r="I483" s="40">
        <v>397</v>
      </c>
      <c r="J483" s="63">
        <f t="shared" si="36"/>
        <v>0</v>
      </c>
      <c r="K483" s="39">
        <f t="shared" si="37"/>
        <v>397</v>
      </c>
      <c r="L483" s="38">
        <v>2</v>
      </c>
    </row>
    <row r="484" spans="1:12" customFormat="1" x14ac:dyDescent="0.2">
      <c r="A484" s="299"/>
      <c r="B484" s="83" t="s">
        <v>67</v>
      </c>
      <c r="C484" s="84" t="s">
        <v>218</v>
      </c>
      <c r="D484" s="85" t="s">
        <v>528</v>
      </c>
      <c r="E484" s="306"/>
      <c r="F484" s="162">
        <v>195</v>
      </c>
      <c r="G484" s="303"/>
      <c r="H484" s="162">
        <f>I484/F484</f>
        <v>0.46153846153846156</v>
      </c>
      <c r="I484" s="40">
        <v>90</v>
      </c>
      <c r="J484" s="63">
        <f t="shared" si="36"/>
        <v>0</v>
      </c>
      <c r="K484" s="39">
        <f t="shared" si="37"/>
        <v>90</v>
      </c>
      <c r="L484" s="38">
        <v>0</v>
      </c>
    </row>
    <row r="485" spans="1:12" customFormat="1" x14ac:dyDescent="0.2">
      <c r="A485" s="299"/>
      <c r="B485" s="83" t="s">
        <v>67</v>
      </c>
      <c r="C485" s="84" t="s">
        <v>218</v>
      </c>
      <c r="D485" s="85" t="s">
        <v>529</v>
      </c>
      <c r="E485" s="307"/>
      <c r="F485" s="162">
        <v>6140</v>
      </c>
      <c r="G485" s="304"/>
      <c r="H485" s="162">
        <f>I485/F485</f>
        <v>0.35016286644951139</v>
      </c>
      <c r="I485" s="40">
        <v>2150</v>
      </c>
      <c r="J485" s="63">
        <f t="shared" si="36"/>
        <v>0</v>
      </c>
      <c r="K485" s="39">
        <f t="shared" si="37"/>
        <v>2150</v>
      </c>
      <c r="L485" s="38">
        <v>12</v>
      </c>
    </row>
    <row r="486" spans="1:12" customFormat="1" x14ac:dyDescent="0.2">
      <c r="A486" s="299"/>
      <c r="B486" s="49" t="s">
        <v>67</v>
      </c>
      <c r="C486" s="58" t="s">
        <v>228</v>
      </c>
      <c r="D486" s="59" t="s">
        <v>295</v>
      </c>
      <c r="E486" s="305">
        <v>6681.8761990000003</v>
      </c>
      <c r="F486" s="162">
        <v>440</v>
      </c>
      <c r="G486" s="302">
        <f>SUM(K486:K490)/E486</f>
        <v>0.4384995939371788</v>
      </c>
      <c r="H486" s="162">
        <f t="shared" si="35"/>
        <v>0.70454545454545459</v>
      </c>
      <c r="I486" s="40">
        <v>0</v>
      </c>
      <c r="J486" s="63">
        <f t="shared" si="36"/>
        <v>310</v>
      </c>
      <c r="K486" s="39">
        <f t="shared" si="37"/>
        <v>310</v>
      </c>
      <c r="L486" s="38">
        <v>0</v>
      </c>
    </row>
    <row r="487" spans="1:12" customFormat="1" x14ac:dyDescent="0.2">
      <c r="A487" s="299"/>
      <c r="B487" s="49" t="s">
        <v>67</v>
      </c>
      <c r="C487" s="58" t="s">
        <v>228</v>
      </c>
      <c r="D487" s="59" t="s">
        <v>296</v>
      </c>
      <c r="E487" s="306"/>
      <c r="F487" s="162">
        <v>748</v>
      </c>
      <c r="G487" s="303"/>
      <c r="H487" s="162">
        <f t="shared" si="35"/>
        <v>0.41443850267379678</v>
      </c>
      <c r="I487" s="40">
        <v>0</v>
      </c>
      <c r="J487" s="63">
        <f t="shared" si="36"/>
        <v>310</v>
      </c>
      <c r="K487" s="39">
        <f t="shared" si="37"/>
        <v>310</v>
      </c>
      <c r="L487" s="38">
        <v>0</v>
      </c>
    </row>
    <row r="488" spans="1:12" customFormat="1" ht="13.5" customHeight="1" x14ac:dyDescent="0.2">
      <c r="A488" s="299"/>
      <c r="B488" s="49" t="s">
        <v>67</v>
      </c>
      <c r="C488" s="58" t="s">
        <v>228</v>
      </c>
      <c r="D488" s="59" t="s">
        <v>297</v>
      </c>
      <c r="E488" s="306"/>
      <c r="F488" s="162">
        <v>406</v>
      </c>
      <c r="G488" s="303"/>
      <c r="H488" s="162">
        <f t="shared" si="35"/>
        <v>0.76354679802955661</v>
      </c>
      <c r="I488" s="40">
        <v>0</v>
      </c>
      <c r="J488" s="63">
        <f t="shared" si="36"/>
        <v>310</v>
      </c>
      <c r="K488" s="39">
        <f t="shared" si="37"/>
        <v>310</v>
      </c>
      <c r="L488" s="38">
        <v>0</v>
      </c>
    </row>
    <row r="489" spans="1:12" customFormat="1" x14ac:dyDescent="0.2">
      <c r="A489" s="299"/>
      <c r="B489" s="83" t="s">
        <v>67</v>
      </c>
      <c r="C489" s="84" t="s">
        <v>228</v>
      </c>
      <c r="D489" s="85" t="s">
        <v>298</v>
      </c>
      <c r="E489" s="306"/>
      <c r="F489" s="162">
        <v>867</v>
      </c>
      <c r="G489" s="303"/>
      <c r="H489" s="162">
        <f>I489/F489</f>
        <v>0.35755478662053058</v>
      </c>
      <c r="I489" s="40">
        <v>310</v>
      </c>
      <c r="J489" s="63">
        <f t="shared" si="36"/>
        <v>0</v>
      </c>
      <c r="K489" s="39">
        <f t="shared" si="37"/>
        <v>310</v>
      </c>
      <c r="L489" s="38">
        <v>2</v>
      </c>
    </row>
    <row r="490" spans="1:12" customFormat="1" x14ac:dyDescent="0.2">
      <c r="A490" s="299"/>
      <c r="B490" s="83" t="s">
        <v>67</v>
      </c>
      <c r="C490" s="84" t="s">
        <v>228</v>
      </c>
      <c r="D490" s="85" t="s">
        <v>527</v>
      </c>
      <c r="E490" s="307"/>
      <c r="F490" s="162">
        <v>4180</v>
      </c>
      <c r="G490" s="304"/>
      <c r="H490" s="162">
        <f>I490/F490</f>
        <v>0.40430622009569378</v>
      </c>
      <c r="I490" s="40">
        <v>1690</v>
      </c>
      <c r="J490" s="63">
        <f t="shared" si="36"/>
        <v>0</v>
      </c>
      <c r="K490" s="39">
        <f t="shared" si="37"/>
        <v>1690</v>
      </c>
      <c r="L490" s="38">
        <v>9</v>
      </c>
    </row>
    <row r="491" spans="1:12" customFormat="1" x14ac:dyDescent="0.2">
      <c r="A491" s="299"/>
      <c r="B491" s="49" t="s">
        <v>67</v>
      </c>
      <c r="C491" s="58" t="s">
        <v>218</v>
      </c>
      <c r="D491" s="59" t="s">
        <v>556</v>
      </c>
      <c r="E491" s="305">
        <v>10829.071263</v>
      </c>
      <c r="F491" s="162">
        <v>493</v>
      </c>
      <c r="G491" s="302">
        <f>SUM(K491:K495)/E491</f>
        <v>0.32421986287929744</v>
      </c>
      <c r="H491" s="162">
        <f t="shared" si="35"/>
        <v>0.62880324543610544</v>
      </c>
      <c r="I491" s="40">
        <v>0</v>
      </c>
      <c r="J491" s="63">
        <f t="shared" si="36"/>
        <v>310</v>
      </c>
      <c r="K491" s="39">
        <f t="shared" si="37"/>
        <v>310</v>
      </c>
      <c r="L491" s="38">
        <v>0</v>
      </c>
    </row>
    <row r="492" spans="1:12" customFormat="1" x14ac:dyDescent="0.2">
      <c r="A492" s="299"/>
      <c r="B492" s="49" t="s">
        <v>67</v>
      </c>
      <c r="C492" s="58" t="s">
        <v>218</v>
      </c>
      <c r="D492" s="59" t="s">
        <v>557</v>
      </c>
      <c r="E492" s="306"/>
      <c r="F492" s="162">
        <v>530</v>
      </c>
      <c r="G492" s="303"/>
      <c r="H492" s="162">
        <f t="shared" si="35"/>
        <v>0.58490566037735847</v>
      </c>
      <c r="I492" s="40">
        <v>0</v>
      </c>
      <c r="J492" s="63">
        <f t="shared" si="36"/>
        <v>310</v>
      </c>
      <c r="K492" s="39">
        <f t="shared" si="37"/>
        <v>310</v>
      </c>
      <c r="L492" s="38">
        <v>0</v>
      </c>
    </row>
    <row r="493" spans="1:12" customFormat="1" x14ac:dyDescent="0.2">
      <c r="A493" s="299"/>
      <c r="B493" s="83" t="s">
        <v>67</v>
      </c>
      <c r="C493" s="84" t="s">
        <v>218</v>
      </c>
      <c r="D493" s="85" t="s">
        <v>558</v>
      </c>
      <c r="E493" s="306"/>
      <c r="F493" s="162">
        <v>1251</v>
      </c>
      <c r="G493" s="303"/>
      <c r="H493" s="162">
        <f>I493/F493</f>
        <v>0.27977617905675461</v>
      </c>
      <c r="I493" s="40">
        <v>350</v>
      </c>
      <c r="J493" s="63">
        <f t="shared" si="36"/>
        <v>0</v>
      </c>
      <c r="K493" s="39">
        <f t="shared" si="37"/>
        <v>350</v>
      </c>
      <c r="L493" s="38">
        <v>2</v>
      </c>
    </row>
    <row r="494" spans="1:12" customFormat="1" x14ac:dyDescent="0.2">
      <c r="A494" s="299"/>
      <c r="B494" s="83" t="s">
        <v>67</v>
      </c>
      <c r="C494" s="84" t="s">
        <v>218</v>
      </c>
      <c r="D494" s="85" t="s">
        <v>559</v>
      </c>
      <c r="E494" s="306"/>
      <c r="F494" s="162">
        <v>3977</v>
      </c>
      <c r="G494" s="303"/>
      <c r="H494" s="162">
        <f>I494/F494</f>
        <v>0.42242896655770679</v>
      </c>
      <c r="I494" s="40">
        <v>1680</v>
      </c>
      <c r="J494" s="63">
        <f t="shared" si="36"/>
        <v>0</v>
      </c>
      <c r="K494" s="39">
        <f t="shared" si="37"/>
        <v>1680</v>
      </c>
      <c r="L494" s="38">
        <v>7</v>
      </c>
    </row>
    <row r="495" spans="1:12" customFormat="1" x14ac:dyDescent="0.2">
      <c r="A495" s="299"/>
      <c r="B495" s="83" t="s">
        <v>67</v>
      </c>
      <c r="C495" s="84" t="s">
        <v>218</v>
      </c>
      <c r="D495" s="85" t="s">
        <v>560</v>
      </c>
      <c r="E495" s="307"/>
      <c r="F495" s="162">
        <v>3605</v>
      </c>
      <c r="G495" s="304"/>
      <c r="H495" s="162">
        <f>I495/F495</f>
        <v>0.23883495145631067</v>
      </c>
      <c r="I495" s="40">
        <v>861</v>
      </c>
      <c r="J495" s="63">
        <f t="shared" si="36"/>
        <v>0</v>
      </c>
      <c r="K495" s="39">
        <f t="shared" si="37"/>
        <v>861</v>
      </c>
      <c r="L495" s="38">
        <v>3</v>
      </c>
    </row>
    <row r="496" spans="1:12" customFormat="1" x14ac:dyDescent="0.2">
      <c r="A496" s="299"/>
      <c r="B496" s="49" t="s">
        <v>67</v>
      </c>
      <c r="C496" s="58" t="s">
        <v>228</v>
      </c>
      <c r="D496" s="59" t="s">
        <v>561</v>
      </c>
      <c r="E496" s="305">
        <v>21381.616870000002</v>
      </c>
      <c r="F496" s="162">
        <v>1055</v>
      </c>
      <c r="G496" s="302">
        <f>SUM(K496:K507)/E496</f>
        <v>0.36302212537025969</v>
      </c>
      <c r="H496" s="162">
        <f t="shared" si="35"/>
        <v>0.29383886255924169</v>
      </c>
      <c r="I496" s="40">
        <v>0</v>
      </c>
      <c r="J496" s="63">
        <f t="shared" si="36"/>
        <v>310</v>
      </c>
      <c r="K496" s="39">
        <f t="shared" si="37"/>
        <v>310</v>
      </c>
      <c r="L496" s="38">
        <v>0</v>
      </c>
    </row>
    <row r="497" spans="1:12" customFormat="1" x14ac:dyDescent="0.2">
      <c r="A497" s="299"/>
      <c r="B497" s="49" t="s">
        <v>67</v>
      </c>
      <c r="C497" s="58" t="s">
        <v>228</v>
      </c>
      <c r="D497" s="59" t="s">
        <v>562</v>
      </c>
      <c r="E497" s="306"/>
      <c r="F497" s="162">
        <v>935</v>
      </c>
      <c r="G497" s="303"/>
      <c r="H497" s="162">
        <f t="shared" si="35"/>
        <v>0.33155080213903743</v>
      </c>
      <c r="I497" s="40">
        <v>0</v>
      </c>
      <c r="J497" s="63">
        <f t="shared" si="36"/>
        <v>310</v>
      </c>
      <c r="K497" s="39">
        <f t="shared" si="37"/>
        <v>310</v>
      </c>
      <c r="L497" s="38">
        <v>0</v>
      </c>
    </row>
    <row r="498" spans="1:12" customFormat="1" x14ac:dyDescent="0.2">
      <c r="A498" s="299"/>
      <c r="B498" s="49" t="s">
        <v>67</v>
      </c>
      <c r="C498" s="58" t="s">
        <v>228</v>
      </c>
      <c r="D498" s="59" t="s">
        <v>563</v>
      </c>
      <c r="E498" s="306"/>
      <c r="F498" s="162">
        <v>855</v>
      </c>
      <c r="G498" s="303"/>
      <c r="H498" s="162">
        <f t="shared" si="35"/>
        <v>0.36257309941520466</v>
      </c>
      <c r="I498" s="40">
        <v>0</v>
      </c>
      <c r="J498" s="63">
        <f t="shared" si="36"/>
        <v>310</v>
      </c>
      <c r="K498" s="39">
        <f t="shared" si="37"/>
        <v>310</v>
      </c>
      <c r="L498" s="38">
        <v>0</v>
      </c>
    </row>
    <row r="499" spans="1:12" customFormat="1" x14ac:dyDescent="0.2">
      <c r="A499" s="299"/>
      <c r="B499" s="49" t="s">
        <v>67</v>
      </c>
      <c r="C499" s="58" t="s">
        <v>228</v>
      </c>
      <c r="D499" s="59" t="s">
        <v>564</v>
      </c>
      <c r="E499" s="306"/>
      <c r="F499" s="162">
        <v>1610</v>
      </c>
      <c r="G499" s="303"/>
      <c r="H499" s="162">
        <f t="shared" si="35"/>
        <v>0.19254658385093168</v>
      </c>
      <c r="I499" s="40">
        <v>0</v>
      </c>
      <c r="J499" s="63">
        <f t="shared" si="36"/>
        <v>310</v>
      </c>
      <c r="K499" s="39">
        <f t="shared" si="37"/>
        <v>310</v>
      </c>
      <c r="L499" s="38">
        <v>0</v>
      </c>
    </row>
    <row r="500" spans="1:12" customFormat="1" x14ac:dyDescent="0.2">
      <c r="A500" s="299"/>
      <c r="B500" s="49" t="s">
        <v>67</v>
      </c>
      <c r="C500" s="58" t="s">
        <v>228</v>
      </c>
      <c r="D500" s="59" t="s">
        <v>565</v>
      </c>
      <c r="E500" s="306"/>
      <c r="F500" s="162">
        <v>690</v>
      </c>
      <c r="G500" s="303"/>
      <c r="H500" s="162">
        <f t="shared" si="35"/>
        <v>0.44927536231884058</v>
      </c>
      <c r="I500" s="40">
        <v>0</v>
      </c>
      <c r="J500" s="63">
        <f t="shared" si="36"/>
        <v>310</v>
      </c>
      <c r="K500" s="39">
        <f t="shared" si="37"/>
        <v>310</v>
      </c>
      <c r="L500" s="38">
        <v>0</v>
      </c>
    </row>
    <row r="501" spans="1:12" customFormat="1" x14ac:dyDescent="0.2">
      <c r="A501" s="299"/>
      <c r="B501" s="49" t="s">
        <v>67</v>
      </c>
      <c r="C501" s="58" t="s">
        <v>228</v>
      </c>
      <c r="D501" s="59" t="s">
        <v>566</v>
      </c>
      <c r="E501" s="306"/>
      <c r="F501" s="162">
        <v>832</v>
      </c>
      <c r="G501" s="303"/>
      <c r="H501" s="162">
        <f t="shared" si="35"/>
        <v>0.37259615384615385</v>
      </c>
      <c r="I501" s="40">
        <v>0</v>
      </c>
      <c r="J501" s="63">
        <f t="shared" si="36"/>
        <v>310</v>
      </c>
      <c r="K501" s="39">
        <f t="shared" si="37"/>
        <v>310</v>
      </c>
      <c r="L501" s="38">
        <v>0</v>
      </c>
    </row>
    <row r="502" spans="1:12" customFormat="1" x14ac:dyDescent="0.2">
      <c r="A502" s="299"/>
      <c r="B502" s="49" t="s">
        <v>67</v>
      </c>
      <c r="C502" s="58" t="s">
        <v>228</v>
      </c>
      <c r="D502" s="59" t="s">
        <v>567</v>
      </c>
      <c r="E502" s="306"/>
      <c r="F502" s="162">
        <v>2018</v>
      </c>
      <c r="G502" s="303"/>
      <c r="H502" s="162">
        <f t="shared" si="35"/>
        <v>0.15361744301288405</v>
      </c>
      <c r="I502" s="40">
        <v>0</v>
      </c>
      <c r="J502" s="63">
        <f t="shared" si="36"/>
        <v>310</v>
      </c>
      <c r="K502" s="39">
        <f t="shared" si="37"/>
        <v>310</v>
      </c>
      <c r="L502" s="38">
        <v>0</v>
      </c>
    </row>
    <row r="503" spans="1:12" customFormat="1" x14ac:dyDescent="0.2">
      <c r="A503" s="299"/>
      <c r="B503" s="49" t="s">
        <v>67</v>
      </c>
      <c r="C503" s="58" t="s">
        <v>228</v>
      </c>
      <c r="D503" s="59" t="s">
        <v>568</v>
      </c>
      <c r="E503" s="306"/>
      <c r="F503" s="162">
        <v>1382</v>
      </c>
      <c r="G503" s="303"/>
      <c r="H503" s="162">
        <f t="shared" si="35"/>
        <v>0.22431259044862517</v>
      </c>
      <c r="I503" s="40">
        <v>0</v>
      </c>
      <c r="J503" s="63">
        <f t="shared" si="36"/>
        <v>310</v>
      </c>
      <c r="K503" s="39">
        <f t="shared" si="37"/>
        <v>310</v>
      </c>
      <c r="L503" s="38">
        <v>0</v>
      </c>
    </row>
    <row r="504" spans="1:12" customFormat="1" x14ac:dyDescent="0.2">
      <c r="A504" s="299"/>
      <c r="B504" s="83" t="s">
        <v>67</v>
      </c>
      <c r="C504" s="84" t="s">
        <v>228</v>
      </c>
      <c r="D504" s="85" t="s">
        <v>569</v>
      </c>
      <c r="E504" s="306"/>
      <c r="F504" s="162">
        <v>3081</v>
      </c>
      <c r="G504" s="303"/>
      <c r="H504" s="162">
        <f>I504/F504</f>
        <v>0.46413502109704641</v>
      </c>
      <c r="I504" s="40">
        <v>1430</v>
      </c>
      <c r="J504" s="63">
        <f t="shared" si="36"/>
        <v>0</v>
      </c>
      <c r="K504" s="39">
        <f t="shared" si="37"/>
        <v>1430</v>
      </c>
      <c r="L504" s="38">
        <v>6</v>
      </c>
    </row>
    <row r="505" spans="1:12" customFormat="1" x14ac:dyDescent="0.2">
      <c r="A505" s="299"/>
      <c r="B505" s="83" t="s">
        <v>67</v>
      </c>
      <c r="C505" s="84" t="s">
        <v>228</v>
      </c>
      <c r="D505" s="85" t="s">
        <v>570</v>
      </c>
      <c r="E505" s="306"/>
      <c r="F505" s="162">
        <v>3190</v>
      </c>
      <c r="G505" s="303"/>
      <c r="H505" s="162">
        <f>I505/F505</f>
        <v>0.50156739811912221</v>
      </c>
      <c r="I505" s="40">
        <v>1600</v>
      </c>
      <c r="J505" s="63">
        <f t="shared" si="36"/>
        <v>0</v>
      </c>
      <c r="K505" s="39">
        <f t="shared" si="37"/>
        <v>1599.9999999999998</v>
      </c>
      <c r="L505" s="38">
        <v>9</v>
      </c>
    </row>
    <row r="506" spans="1:12" customFormat="1" x14ac:dyDescent="0.2">
      <c r="A506" s="299"/>
      <c r="B506" s="83" t="s">
        <v>67</v>
      </c>
      <c r="C506" s="84" t="s">
        <v>228</v>
      </c>
      <c r="D506" s="85" t="s">
        <v>571</v>
      </c>
      <c r="E506" s="306"/>
      <c r="F506" s="162">
        <v>2013</v>
      </c>
      <c r="G506" s="303"/>
      <c r="H506" s="162">
        <f>I506/F506</f>
        <v>0.47292598112270245</v>
      </c>
      <c r="I506" s="40">
        <v>952</v>
      </c>
      <c r="J506" s="63">
        <f t="shared" si="36"/>
        <v>0</v>
      </c>
      <c r="K506" s="39">
        <f t="shared" si="37"/>
        <v>952</v>
      </c>
      <c r="L506" s="38">
        <v>4</v>
      </c>
    </row>
    <row r="507" spans="1:12" customFormat="1" x14ac:dyDescent="0.2">
      <c r="A507" s="299"/>
      <c r="B507" s="83" t="s">
        <v>67</v>
      </c>
      <c r="C507" s="84" t="s">
        <v>228</v>
      </c>
      <c r="D507" s="85" t="s">
        <v>572</v>
      </c>
      <c r="E507" s="307"/>
      <c r="F507" s="162">
        <v>2712</v>
      </c>
      <c r="G507" s="304"/>
      <c r="H507" s="162">
        <f>I507/F507</f>
        <v>0.47935103244837757</v>
      </c>
      <c r="I507" s="40">
        <v>1300</v>
      </c>
      <c r="J507" s="63">
        <f t="shared" si="36"/>
        <v>0</v>
      </c>
      <c r="K507" s="39">
        <f t="shared" si="37"/>
        <v>1300</v>
      </c>
      <c r="L507" s="38">
        <v>5</v>
      </c>
    </row>
    <row r="508" spans="1:12" customFormat="1" x14ac:dyDescent="0.2">
      <c r="A508" s="299"/>
      <c r="B508" s="83" t="s">
        <v>67</v>
      </c>
      <c r="C508" s="84" t="s">
        <v>218</v>
      </c>
      <c r="D508" s="85" t="s">
        <v>299</v>
      </c>
      <c r="E508" s="305">
        <v>18633.485037999999</v>
      </c>
      <c r="F508" s="162">
        <v>1191</v>
      </c>
      <c r="G508" s="302">
        <f>SUM(K508:K513)/E508</f>
        <v>0.37523844765168402</v>
      </c>
      <c r="H508" s="162">
        <f t="shared" si="35"/>
        <v>0.26028547439126787</v>
      </c>
      <c r="I508" s="40">
        <v>0</v>
      </c>
      <c r="J508" s="63">
        <f t="shared" si="36"/>
        <v>310.00000000000006</v>
      </c>
      <c r="K508" s="39">
        <f t="shared" si="37"/>
        <v>310.00000000000006</v>
      </c>
      <c r="L508" s="38">
        <v>0</v>
      </c>
    </row>
    <row r="509" spans="1:12" customFormat="1" x14ac:dyDescent="0.2">
      <c r="A509" s="299"/>
      <c r="B509" s="49" t="s">
        <v>67</v>
      </c>
      <c r="C509" s="58" t="s">
        <v>218</v>
      </c>
      <c r="D509" s="59" t="s">
        <v>300</v>
      </c>
      <c r="E509" s="306"/>
      <c r="F509" s="162">
        <v>622</v>
      </c>
      <c r="G509" s="303"/>
      <c r="H509" s="162">
        <f t="shared" si="35"/>
        <v>0.49839228295819937</v>
      </c>
      <c r="I509" s="40">
        <v>0</v>
      </c>
      <c r="J509" s="63">
        <f t="shared" si="36"/>
        <v>310</v>
      </c>
      <c r="K509" s="39">
        <f t="shared" si="37"/>
        <v>310</v>
      </c>
      <c r="L509" s="38">
        <v>0</v>
      </c>
    </row>
    <row r="510" spans="1:12" customFormat="1" x14ac:dyDescent="0.2">
      <c r="A510" s="299"/>
      <c r="B510" s="83" t="s">
        <v>67</v>
      </c>
      <c r="C510" s="84" t="s">
        <v>218</v>
      </c>
      <c r="D510" s="85" t="s">
        <v>301</v>
      </c>
      <c r="E510" s="306"/>
      <c r="F510" s="162">
        <v>404</v>
      </c>
      <c r="G510" s="303"/>
      <c r="H510" s="162">
        <f t="shared" si="35"/>
        <v>0.76732673267326734</v>
      </c>
      <c r="I510" s="40">
        <v>0</v>
      </c>
      <c r="J510" s="63">
        <f t="shared" si="36"/>
        <v>310</v>
      </c>
      <c r="K510" s="39">
        <f t="shared" si="37"/>
        <v>310</v>
      </c>
      <c r="L510" s="38">
        <v>0</v>
      </c>
    </row>
    <row r="511" spans="1:12" customFormat="1" x14ac:dyDescent="0.2">
      <c r="A511" s="299"/>
      <c r="B511" s="49" t="s">
        <v>67</v>
      </c>
      <c r="C511" s="58" t="s">
        <v>218</v>
      </c>
      <c r="D511" s="59" t="s">
        <v>302</v>
      </c>
      <c r="E511" s="306"/>
      <c r="F511" s="162">
        <v>930</v>
      </c>
      <c r="G511" s="303"/>
      <c r="H511" s="162">
        <f t="shared" si="35"/>
        <v>0.33333333333333331</v>
      </c>
      <c r="I511" s="40">
        <v>0</v>
      </c>
      <c r="J511" s="63">
        <f t="shared" ref="J511:J574" si="38">K511-I511</f>
        <v>310</v>
      </c>
      <c r="K511" s="39">
        <f t="shared" ref="K511:K574" si="39">F511*H511</f>
        <v>310</v>
      </c>
      <c r="L511" s="38">
        <v>0</v>
      </c>
    </row>
    <row r="512" spans="1:12" customFormat="1" x14ac:dyDescent="0.2">
      <c r="A512" s="299"/>
      <c r="B512" s="49" t="s">
        <v>67</v>
      </c>
      <c r="C512" s="58" t="s">
        <v>218</v>
      </c>
      <c r="D512" s="59" t="s">
        <v>303</v>
      </c>
      <c r="E512" s="306"/>
      <c r="F512" s="162">
        <v>791</v>
      </c>
      <c r="G512" s="303"/>
      <c r="H512" s="162">
        <f t="shared" ref="H512:H586" si="40">310/F512</f>
        <v>0.39190897597977242</v>
      </c>
      <c r="I512" s="40">
        <v>0</v>
      </c>
      <c r="J512" s="63">
        <f t="shared" si="38"/>
        <v>310</v>
      </c>
      <c r="K512" s="39">
        <f t="shared" si="39"/>
        <v>310</v>
      </c>
      <c r="L512" s="38">
        <v>0</v>
      </c>
    </row>
    <row r="513" spans="1:12" customFormat="1" x14ac:dyDescent="0.2">
      <c r="A513" s="299"/>
      <c r="B513" s="83" t="s">
        <v>67</v>
      </c>
      <c r="C513" s="84" t="s">
        <v>218</v>
      </c>
      <c r="D513" s="85" t="s">
        <v>530</v>
      </c>
      <c r="E513" s="307"/>
      <c r="F513" s="162">
        <v>11311</v>
      </c>
      <c r="G513" s="304"/>
      <c r="H513" s="162">
        <f>I513/F513</f>
        <v>0.48112456900362477</v>
      </c>
      <c r="I513" s="40">
        <v>5442</v>
      </c>
      <c r="J513" s="63">
        <f t="shared" si="38"/>
        <v>0</v>
      </c>
      <c r="K513" s="39">
        <f t="shared" si="39"/>
        <v>5442</v>
      </c>
      <c r="L513" s="38">
        <v>20</v>
      </c>
    </row>
    <row r="514" spans="1:12" customFormat="1" x14ac:dyDescent="0.2">
      <c r="A514" s="299"/>
      <c r="B514" s="49" t="s">
        <v>68</v>
      </c>
      <c r="C514" s="58" t="s">
        <v>218</v>
      </c>
      <c r="D514" s="59" t="s">
        <v>304</v>
      </c>
      <c r="E514" s="305">
        <v>21982.250209000002</v>
      </c>
      <c r="F514" s="162">
        <v>543</v>
      </c>
      <c r="G514" s="302">
        <f>SUM(K514:K520)/E514</f>
        <v>0.51632566693982351</v>
      </c>
      <c r="H514" s="162">
        <f t="shared" si="40"/>
        <v>0.57090239410681398</v>
      </c>
      <c r="I514" s="40">
        <v>0</v>
      </c>
      <c r="J514" s="63">
        <f t="shared" si="38"/>
        <v>310</v>
      </c>
      <c r="K514" s="39">
        <f t="shared" si="39"/>
        <v>310</v>
      </c>
      <c r="L514" s="38">
        <v>0</v>
      </c>
    </row>
    <row r="515" spans="1:12" customFormat="1" x14ac:dyDescent="0.2">
      <c r="A515" s="299"/>
      <c r="B515" s="49" t="s">
        <v>68</v>
      </c>
      <c r="C515" s="58" t="s">
        <v>218</v>
      </c>
      <c r="D515" s="59" t="s">
        <v>305</v>
      </c>
      <c r="E515" s="306"/>
      <c r="F515" s="162">
        <v>1131</v>
      </c>
      <c r="G515" s="303"/>
      <c r="H515" s="162">
        <f t="shared" si="40"/>
        <v>0.27409372236958446</v>
      </c>
      <c r="I515" s="40">
        <v>0</v>
      </c>
      <c r="J515" s="63">
        <f t="shared" si="38"/>
        <v>310</v>
      </c>
      <c r="K515" s="39">
        <f t="shared" si="39"/>
        <v>310</v>
      </c>
      <c r="L515" s="38">
        <v>0</v>
      </c>
    </row>
    <row r="516" spans="1:12" customFormat="1" x14ac:dyDescent="0.2">
      <c r="A516" s="299"/>
      <c r="B516" s="49" t="s">
        <v>68</v>
      </c>
      <c r="C516" s="58" t="s">
        <v>218</v>
      </c>
      <c r="D516" s="59" t="s">
        <v>306</v>
      </c>
      <c r="E516" s="306"/>
      <c r="F516" s="162">
        <v>572</v>
      </c>
      <c r="G516" s="303"/>
      <c r="H516" s="162">
        <f t="shared" si="40"/>
        <v>0.54195804195804198</v>
      </c>
      <c r="I516" s="40">
        <v>0</v>
      </c>
      <c r="J516" s="63">
        <f t="shared" si="38"/>
        <v>310</v>
      </c>
      <c r="K516" s="39">
        <f t="shared" si="39"/>
        <v>310</v>
      </c>
      <c r="L516" s="38">
        <v>0</v>
      </c>
    </row>
    <row r="517" spans="1:12" customFormat="1" x14ac:dyDescent="0.2">
      <c r="A517" s="299"/>
      <c r="B517" s="49" t="s">
        <v>68</v>
      </c>
      <c r="C517" s="58" t="s">
        <v>218</v>
      </c>
      <c r="D517" s="59" t="s">
        <v>307</v>
      </c>
      <c r="E517" s="306"/>
      <c r="F517" s="162">
        <v>764</v>
      </c>
      <c r="G517" s="303"/>
      <c r="H517" s="162">
        <f t="shared" si="40"/>
        <v>0.40575916230366493</v>
      </c>
      <c r="I517" s="40">
        <v>0</v>
      </c>
      <c r="J517" s="63">
        <f t="shared" si="38"/>
        <v>310</v>
      </c>
      <c r="K517" s="39">
        <f t="shared" si="39"/>
        <v>310</v>
      </c>
      <c r="L517" s="38">
        <v>0</v>
      </c>
    </row>
    <row r="518" spans="1:12" customFormat="1" x14ac:dyDescent="0.2">
      <c r="A518" s="299"/>
      <c r="B518" s="49" t="s">
        <v>68</v>
      </c>
      <c r="C518" s="58" t="s">
        <v>218</v>
      </c>
      <c r="D518" s="59" t="s">
        <v>308</v>
      </c>
      <c r="E518" s="306"/>
      <c r="F518" s="162">
        <v>891</v>
      </c>
      <c r="G518" s="303"/>
      <c r="H518" s="162">
        <f t="shared" si="40"/>
        <v>0.34792368125701462</v>
      </c>
      <c r="I518" s="40">
        <v>0</v>
      </c>
      <c r="J518" s="63">
        <f t="shared" si="38"/>
        <v>310</v>
      </c>
      <c r="K518" s="39">
        <f t="shared" si="39"/>
        <v>310</v>
      </c>
      <c r="L518" s="38">
        <v>0</v>
      </c>
    </row>
    <row r="519" spans="1:12" customFormat="1" x14ac:dyDescent="0.2">
      <c r="A519" s="299"/>
      <c r="B519" s="83" t="s">
        <v>68</v>
      </c>
      <c r="C519" s="84" t="s">
        <v>218</v>
      </c>
      <c r="D519" s="85" t="s">
        <v>309</v>
      </c>
      <c r="E519" s="306"/>
      <c r="F519" s="162">
        <f>9744-203</f>
        <v>9541</v>
      </c>
      <c r="G519" s="303"/>
      <c r="H519" s="162">
        <f>I519/F519</f>
        <v>0.51357300073367573</v>
      </c>
      <c r="I519" s="40">
        <v>4900</v>
      </c>
      <c r="J519" s="63">
        <f t="shared" si="38"/>
        <v>0</v>
      </c>
      <c r="K519" s="39">
        <f t="shared" si="39"/>
        <v>4900</v>
      </c>
      <c r="L519" s="38">
        <v>26</v>
      </c>
    </row>
    <row r="520" spans="1:12" customFormat="1" x14ac:dyDescent="0.2">
      <c r="A520" s="299"/>
      <c r="B520" s="83" t="s">
        <v>68</v>
      </c>
      <c r="C520" s="84" t="s">
        <v>218</v>
      </c>
      <c r="D520" s="85" t="s">
        <v>310</v>
      </c>
      <c r="E520" s="307"/>
      <c r="F520" s="162">
        <v>7615</v>
      </c>
      <c r="G520" s="304"/>
      <c r="H520" s="162">
        <f>I520/F520</f>
        <v>0.64346684175968483</v>
      </c>
      <c r="I520" s="40">
        <v>4900</v>
      </c>
      <c r="J520" s="63">
        <f t="shared" si="38"/>
        <v>0</v>
      </c>
      <c r="K520" s="39">
        <f t="shared" si="39"/>
        <v>4900</v>
      </c>
      <c r="L520" s="38">
        <v>26</v>
      </c>
    </row>
    <row r="521" spans="1:12" customFormat="1" x14ac:dyDescent="0.2">
      <c r="A521" s="299"/>
      <c r="B521" s="49" t="s">
        <v>68</v>
      </c>
      <c r="C521" s="58" t="s">
        <v>228</v>
      </c>
      <c r="D521" s="59" t="s">
        <v>304</v>
      </c>
      <c r="E521" s="305">
        <v>15344.774351</v>
      </c>
      <c r="F521" s="162">
        <v>584</v>
      </c>
      <c r="G521" s="302">
        <f>SUM(K521:K531)/E521</f>
        <v>0.3803249149518888</v>
      </c>
      <c r="H521" s="162">
        <f t="shared" si="40"/>
        <v>0.53082191780821919</v>
      </c>
      <c r="I521" s="40">
        <v>0</v>
      </c>
      <c r="J521" s="63">
        <f t="shared" si="38"/>
        <v>310</v>
      </c>
      <c r="K521" s="39">
        <f t="shared" si="39"/>
        <v>310</v>
      </c>
      <c r="L521" s="38">
        <v>0</v>
      </c>
    </row>
    <row r="522" spans="1:12" customFormat="1" x14ac:dyDescent="0.2">
      <c r="A522" s="299"/>
      <c r="B522" s="49" t="s">
        <v>68</v>
      </c>
      <c r="C522" s="58" t="s">
        <v>228</v>
      </c>
      <c r="D522" s="59" t="s">
        <v>305</v>
      </c>
      <c r="E522" s="306"/>
      <c r="F522" s="162">
        <v>807</v>
      </c>
      <c r="G522" s="303"/>
      <c r="H522" s="162">
        <f t="shared" si="40"/>
        <v>0.38413878562577447</v>
      </c>
      <c r="I522" s="40">
        <v>0</v>
      </c>
      <c r="J522" s="63">
        <f t="shared" si="38"/>
        <v>310</v>
      </c>
      <c r="K522" s="39">
        <f t="shared" si="39"/>
        <v>310</v>
      </c>
      <c r="L522" s="38">
        <v>0</v>
      </c>
    </row>
    <row r="523" spans="1:12" customFormat="1" x14ac:dyDescent="0.2">
      <c r="A523" s="299"/>
      <c r="B523" s="49" t="s">
        <v>68</v>
      </c>
      <c r="C523" s="58" t="s">
        <v>228</v>
      </c>
      <c r="D523" s="59" t="s">
        <v>306</v>
      </c>
      <c r="E523" s="306"/>
      <c r="F523" s="162">
        <v>1006</v>
      </c>
      <c r="G523" s="303"/>
      <c r="H523" s="162">
        <f t="shared" si="40"/>
        <v>0.30815109343936381</v>
      </c>
      <c r="I523" s="40">
        <v>0</v>
      </c>
      <c r="J523" s="63">
        <f t="shared" si="38"/>
        <v>310</v>
      </c>
      <c r="K523" s="39">
        <f t="shared" si="39"/>
        <v>310</v>
      </c>
      <c r="L523" s="38">
        <v>0</v>
      </c>
    </row>
    <row r="524" spans="1:12" customFormat="1" x14ac:dyDescent="0.2">
      <c r="A524" s="299"/>
      <c r="B524" s="49" t="s">
        <v>68</v>
      </c>
      <c r="C524" s="58" t="s">
        <v>228</v>
      </c>
      <c r="D524" s="59" t="s">
        <v>307</v>
      </c>
      <c r="E524" s="306"/>
      <c r="F524" s="162">
        <v>1264</v>
      </c>
      <c r="G524" s="303"/>
      <c r="H524" s="162">
        <f t="shared" si="40"/>
        <v>0.24525316455696203</v>
      </c>
      <c r="I524" s="40">
        <v>0</v>
      </c>
      <c r="J524" s="63">
        <f t="shared" si="38"/>
        <v>310</v>
      </c>
      <c r="K524" s="39">
        <f t="shared" si="39"/>
        <v>310</v>
      </c>
      <c r="L524" s="38">
        <v>0</v>
      </c>
    </row>
    <row r="525" spans="1:12" customFormat="1" x14ac:dyDescent="0.2">
      <c r="A525" s="299"/>
      <c r="B525" s="49" t="s">
        <v>68</v>
      </c>
      <c r="C525" s="58" t="s">
        <v>228</v>
      </c>
      <c r="D525" s="59" t="s">
        <v>308</v>
      </c>
      <c r="E525" s="306"/>
      <c r="F525" s="162">
        <v>1027</v>
      </c>
      <c r="G525" s="303"/>
      <c r="H525" s="162">
        <f t="shared" si="40"/>
        <v>0.3018500486854917</v>
      </c>
      <c r="I525" s="40">
        <v>0</v>
      </c>
      <c r="J525" s="63">
        <f t="shared" si="38"/>
        <v>310</v>
      </c>
      <c r="K525" s="39">
        <f t="shared" si="39"/>
        <v>310</v>
      </c>
      <c r="L525" s="38">
        <v>0</v>
      </c>
    </row>
    <row r="526" spans="1:12" customFormat="1" x14ac:dyDescent="0.2">
      <c r="A526" s="299"/>
      <c r="B526" s="49" t="s">
        <v>68</v>
      </c>
      <c r="C526" s="58" t="s">
        <v>228</v>
      </c>
      <c r="D526" s="59" t="s">
        <v>309</v>
      </c>
      <c r="E526" s="306"/>
      <c r="F526" s="162">
        <v>1202</v>
      </c>
      <c r="G526" s="303"/>
      <c r="H526" s="162">
        <f t="shared" si="40"/>
        <v>0.25790349417637271</v>
      </c>
      <c r="I526" s="40">
        <v>0</v>
      </c>
      <c r="J526" s="63">
        <f t="shared" si="38"/>
        <v>310</v>
      </c>
      <c r="K526" s="39">
        <f t="shared" si="39"/>
        <v>310</v>
      </c>
      <c r="L526" s="38">
        <v>0</v>
      </c>
    </row>
    <row r="527" spans="1:12" customFormat="1" x14ac:dyDescent="0.2">
      <c r="A527" s="299"/>
      <c r="B527" s="49" t="s">
        <v>68</v>
      </c>
      <c r="C527" s="58" t="s">
        <v>228</v>
      </c>
      <c r="D527" s="59" t="s">
        <v>310</v>
      </c>
      <c r="E527" s="306"/>
      <c r="F527" s="162">
        <v>404</v>
      </c>
      <c r="G527" s="303"/>
      <c r="H527" s="162">
        <f t="shared" si="40"/>
        <v>0.76732673267326734</v>
      </c>
      <c r="I527" s="40">
        <v>0</v>
      </c>
      <c r="J527" s="63">
        <f t="shared" si="38"/>
        <v>310</v>
      </c>
      <c r="K527" s="39">
        <f t="shared" si="39"/>
        <v>310</v>
      </c>
      <c r="L527" s="38">
        <v>0</v>
      </c>
    </row>
    <row r="528" spans="1:12" customFormat="1" x14ac:dyDescent="0.2">
      <c r="A528" s="299"/>
      <c r="B528" s="49" t="s">
        <v>68</v>
      </c>
      <c r="C528" s="58" t="s">
        <v>228</v>
      </c>
      <c r="D528" s="59" t="s">
        <v>311</v>
      </c>
      <c r="E528" s="306"/>
      <c r="F528" s="162">
        <v>406</v>
      </c>
      <c r="G528" s="303"/>
      <c r="H528" s="162">
        <f t="shared" si="40"/>
        <v>0.76354679802955661</v>
      </c>
      <c r="I528" s="40">
        <v>0</v>
      </c>
      <c r="J528" s="63">
        <f t="shared" si="38"/>
        <v>310</v>
      </c>
      <c r="K528" s="39">
        <f t="shared" si="39"/>
        <v>310</v>
      </c>
      <c r="L528" s="38">
        <v>0</v>
      </c>
    </row>
    <row r="529" spans="1:12" customFormat="1" x14ac:dyDescent="0.2">
      <c r="A529" s="299"/>
      <c r="B529" s="83" t="s">
        <v>68</v>
      </c>
      <c r="C529" s="84" t="s">
        <v>228</v>
      </c>
      <c r="D529" s="85" t="s">
        <v>531</v>
      </c>
      <c r="E529" s="306"/>
      <c r="F529" s="162">
        <v>2142</v>
      </c>
      <c r="G529" s="303"/>
      <c r="H529" s="162">
        <f>I529/F529</f>
        <v>0.42296918767507002</v>
      </c>
      <c r="I529" s="40">
        <v>906</v>
      </c>
      <c r="J529" s="63">
        <f t="shared" si="38"/>
        <v>0</v>
      </c>
      <c r="K529" s="39">
        <f t="shared" si="39"/>
        <v>906</v>
      </c>
      <c r="L529" s="38">
        <v>5</v>
      </c>
    </row>
    <row r="530" spans="1:12" customFormat="1" x14ac:dyDescent="0.2">
      <c r="A530" s="299"/>
      <c r="B530" s="83" t="s">
        <v>68</v>
      </c>
      <c r="C530" s="84" t="s">
        <v>228</v>
      </c>
      <c r="D530" s="85" t="s">
        <v>532</v>
      </c>
      <c r="E530" s="306"/>
      <c r="F530" s="162">
        <v>3680</v>
      </c>
      <c r="G530" s="303"/>
      <c r="H530" s="162">
        <f>I530/F530</f>
        <v>0.43478260869565216</v>
      </c>
      <c r="I530" s="40">
        <v>1600</v>
      </c>
      <c r="J530" s="63">
        <f t="shared" si="38"/>
        <v>0</v>
      </c>
      <c r="K530" s="39">
        <f t="shared" si="39"/>
        <v>1600</v>
      </c>
      <c r="L530" s="38">
        <v>9</v>
      </c>
    </row>
    <row r="531" spans="1:12" customFormat="1" x14ac:dyDescent="0.2">
      <c r="A531" s="299"/>
      <c r="B531" s="83" t="s">
        <v>68</v>
      </c>
      <c r="C531" s="84" t="s">
        <v>228</v>
      </c>
      <c r="D531" s="85" t="s">
        <v>533</v>
      </c>
      <c r="E531" s="307"/>
      <c r="F531" s="162">
        <v>1912</v>
      </c>
      <c r="G531" s="304"/>
      <c r="H531" s="162">
        <f>I531/F531</f>
        <v>0.44456066945606693</v>
      </c>
      <c r="I531" s="40">
        <v>850</v>
      </c>
      <c r="J531" s="63">
        <f t="shared" si="38"/>
        <v>0</v>
      </c>
      <c r="K531" s="39">
        <f t="shared" si="39"/>
        <v>850</v>
      </c>
      <c r="L531" s="38">
        <v>5</v>
      </c>
    </row>
    <row r="532" spans="1:12" customFormat="1" x14ac:dyDescent="0.2">
      <c r="A532" s="299"/>
      <c r="B532" s="49" t="s">
        <v>68</v>
      </c>
      <c r="C532" s="58" t="s">
        <v>229</v>
      </c>
      <c r="D532" s="59" t="s">
        <v>304</v>
      </c>
      <c r="E532" s="305">
        <v>17072.696070999998</v>
      </c>
      <c r="F532" s="162">
        <v>729</v>
      </c>
      <c r="G532" s="302">
        <f>SUM(K532:K534)/E532</f>
        <v>0.54824381345949635</v>
      </c>
      <c r="H532" s="162">
        <f t="shared" si="40"/>
        <v>0.42524005486968453</v>
      </c>
      <c r="I532" s="40">
        <v>0</v>
      </c>
      <c r="J532" s="63">
        <f t="shared" si="38"/>
        <v>310</v>
      </c>
      <c r="K532" s="39">
        <f t="shared" si="39"/>
        <v>310</v>
      </c>
      <c r="L532" s="38">
        <v>0</v>
      </c>
    </row>
    <row r="533" spans="1:12" customFormat="1" x14ac:dyDescent="0.2">
      <c r="A533" s="299"/>
      <c r="B533" s="83" t="s">
        <v>68</v>
      </c>
      <c r="C533" s="84" t="s">
        <v>229</v>
      </c>
      <c r="D533" s="85" t="s">
        <v>305</v>
      </c>
      <c r="E533" s="306"/>
      <c r="F533" s="162">
        <v>4562</v>
      </c>
      <c r="G533" s="303"/>
      <c r="H533" s="162">
        <f>I533/F533</f>
        <v>0.70144673388864531</v>
      </c>
      <c r="I533" s="40">
        <v>3200</v>
      </c>
      <c r="J533" s="63">
        <f t="shared" si="38"/>
        <v>0</v>
      </c>
      <c r="K533" s="39">
        <f t="shared" si="39"/>
        <v>3200</v>
      </c>
      <c r="L533" s="38">
        <v>17</v>
      </c>
    </row>
    <row r="534" spans="1:12" customFormat="1" x14ac:dyDescent="0.2">
      <c r="A534" s="299"/>
      <c r="B534" s="83" t="s">
        <v>68</v>
      </c>
      <c r="C534" s="84" t="s">
        <v>229</v>
      </c>
      <c r="D534" s="85" t="s">
        <v>306</v>
      </c>
      <c r="E534" s="307"/>
      <c r="F534" s="162">
        <v>11046</v>
      </c>
      <c r="G534" s="304"/>
      <c r="H534" s="162">
        <f>I534/F534</f>
        <v>0.52960347637153726</v>
      </c>
      <c r="I534" s="40">
        <v>5850</v>
      </c>
      <c r="J534" s="63">
        <f t="shared" si="38"/>
        <v>0</v>
      </c>
      <c r="K534" s="39">
        <f t="shared" si="39"/>
        <v>5850.0000000000009</v>
      </c>
      <c r="L534" s="38">
        <v>32</v>
      </c>
    </row>
    <row r="535" spans="1:12" customFormat="1" x14ac:dyDescent="0.2">
      <c r="A535" s="299"/>
      <c r="B535" s="49" t="s">
        <v>67</v>
      </c>
      <c r="C535" s="58" t="s">
        <v>232</v>
      </c>
      <c r="D535" s="59" t="s">
        <v>312</v>
      </c>
      <c r="E535" s="305">
        <v>24972.377393999999</v>
      </c>
      <c r="F535" s="162">
        <v>740</v>
      </c>
      <c r="G535" s="302">
        <f>SUM(K535:K545)/E535</f>
        <v>0.20710883543040853</v>
      </c>
      <c r="H535" s="162">
        <f t="shared" si="40"/>
        <v>0.41891891891891891</v>
      </c>
      <c r="I535" s="40">
        <v>0</v>
      </c>
      <c r="J535" s="63">
        <f t="shared" si="38"/>
        <v>310</v>
      </c>
      <c r="K535" s="39">
        <f t="shared" si="39"/>
        <v>310</v>
      </c>
      <c r="L535" s="38">
        <v>0</v>
      </c>
    </row>
    <row r="536" spans="1:12" customFormat="1" x14ac:dyDescent="0.2">
      <c r="A536" s="299"/>
      <c r="B536" s="49" t="s">
        <v>67</v>
      </c>
      <c r="C536" s="58" t="s">
        <v>232</v>
      </c>
      <c r="D536" s="59" t="s">
        <v>313</v>
      </c>
      <c r="E536" s="306"/>
      <c r="F536" s="162">
        <v>1067</v>
      </c>
      <c r="G536" s="303"/>
      <c r="H536" s="162">
        <f t="shared" si="40"/>
        <v>0.29053420805998126</v>
      </c>
      <c r="I536" s="40">
        <v>0</v>
      </c>
      <c r="J536" s="63">
        <f t="shared" si="38"/>
        <v>310</v>
      </c>
      <c r="K536" s="39">
        <f t="shared" si="39"/>
        <v>310</v>
      </c>
      <c r="L536" s="38">
        <v>0</v>
      </c>
    </row>
    <row r="537" spans="1:12" customFormat="1" x14ac:dyDescent="0.2">
      <c r="A537" s="299"/>
      <c r="B537" s="49" t="s">
        <v>67</v>
      </c>
      <c r="C537" s="58" t="s">
        <v>232</v>
      </c>
      <c r="D537" s="59" t="s">
        <v>314</v>
      </c>
      <c r="E537" s="306"/>
      <c r="F537" s="162">
        <v>611</v>
      </c>
      <c r="G537" s="303"/>
      <c r="H537" s="162">
        <f t="shared" si="40"/>
        <v>0.50736497545008186</v>
      </c>
      <c r="I537" s="40">
        <v>0</v>
      </c>
      <c r="J537" s="63">
        <f t="shared" si="38"/>
        <v>310</v>
      </c>
      <c r="K537" s="39">
        <f t="shared" si="39"/>
        <v>310</v>
      </c>
      <c r="L537" s="38">
        <v>0</v>
      </c>
    </row>
    <row r="538" spans="1:12" customFormat="1" x14ac:dyDescent="0.2">
      <c r="A538" s="299"/>
      <c r="B538" s="49" t="s">
        <v>67</v>
      </c>
      <c r="C538" s="58" t="s">
        <v>232</v>
      </c>
      <c r="D538" s="59" t="s">
        <v>315</v>
      </c>
      <c r="E538" s="306"/>
      <c r="F538" s="162">
        <v>988</v>
      </c>
      <c r="G538" s="303"/>
      <c r="H538" s="162">
        <f t="shared" si="40"/>
        <v>0.31376518218623484</v>
      </c>
      <c r="I538" s="40">
        <v>0</v>
      </c>
      <c r="J538" s="63">
        <f t="shared" si="38"/>
        <v>310</v>
      </c>
      <c r="K538" s="39">
        <f t="shared" si="39"/>
        <v>310</v>
      </c>
      <c r="L538" s="38">
        <v>0</v>
      </c>
    </row>
    <row r="539" spans="1:12" customFormat="1" x14ac:dyDescent="0.2">
      <c r="A539" s="299"/>
      <c r="B539" s="49" t="s">
        <v>67</v>
      </c>
      <c r="C539" s="58" t="s">
        <v>232</v>
      </c>
      <c r="D539" s="59" t="s">
        <v>316</v>
      </c>
      <c r="E539" s="306"/>
      <c r="F539" s="162">
        <v>865</v>
      </c>
      <c r="G539" s="303"/>
      <c r="H539" s="162">
        <f t="shared" si="40"/>
        <v>0.3583815028901734</v>
      </c>
      <c r="I539" s="40">
        <v>0</v>
      </c>
      <c r="J539" s="63">
        <f t="shared" si="38"/>
        <v>310</v>
      </c>
      <c r="K539" s="39">
        <f t="shared" si="39"/>
        <v>310</v>
      </c>
      <c r="L539" s="38">
        <v>0</v>
      </c>
    </row>
    <row r="540" spans="1:12" customFormat="1" x14ac:dyDescent="0.2">
      <c r="A540" s="299"/>
      <c r="B540" s="49" t="s">
        <v>67</v>
      </c>
      <c r="C540" s="58" t="s">
        <v>232</v>
      </c>
      <c r="D540" s="59" t="s">
        <v>317</v>
      </c>
      <c r="E540" s="306"/>
      <c r="F540" s="162">
        <v>1266</v>
      </c>
      <c r="G540" s="303"/>
      <c r="H540" s="162">
        <f t="shared" si="40"/>
        <v>0.24486571879936808</v>
      </c>
      <c r="I540" s="40">
        <v>0</v>
      </c>
      <c r="J540" s="63">
        <f t="shared" si="38"/>
        <v>310</v>
      </c>
      <c r="K540" s="39">
        <f t="shared" si="39"/>
        <v>310</v>
      </c>
      <c r="L540" s="38">
        <v>0</v>
      </c>
    </row>
    <row r="541" spans="1:12" customFormat="1" x14ac:dyDescent="0.2">
      <c r="A541" s="299"/>
      <c r="B541" s="49" t="s">
        <v>67</v>
      </c>
      <c r="C541" s="58" t="s">
        <v>232</v>
      </c>
      <c r="D541" s="59" t="s">
        <v>318</v>
      </c>
      <c r="E541" s="306"/>
      <c r="F541" s="162">
        <v>2545</v>
      </c>
      <c r="G541" s="303"/>
      <c r="H541" s="162">
        <f t="shared" si="40"/>
        <v>0.12180746561886051</v>
      </c>
      <c r="I541" s="40">
        <v>0</v>
      </c>
      <c r="J541" s="63">
        <f t="shared" si="38"/>
        <v>310</v>
      </c>
      <c r="K541" s="39">
        <f t="shared" si="39"/>
        <v>310</v>
      </c>
      <c r="L541" s="38">
        <v>0</v>
      </c>
    </row>
    <row r="542" spans="1:12" customFormat="1" x14ac:dyDescent="0.2">
      <c r="A542" s="299"/>
      <c r="B542" s="49" t="s">
        <v>67</v>
      </c>
      <c r="C542" s="58" t="s">
        <v>232</v>
      </c>
      <c r="D542" s="59" t="s">
        <v>319</v>
      </c>
      <c r="E542" s="306"/>
      <c r="F542" s="162">
        <v>1307</v>
      </c>
      <c r="G542" s="303"/>
      <c r="H542" s="162">
        <f t="shared" si="40"/>
        <v>0.23718439173680184</v>
      </c>
      <c r="I542" s="40">
        <v>0</v>
      </c>
      <c r="J542" s="63">
        <f t="shared" si="38"/>
        <v>310</v>
      </c>
      <c r="K542" s="39">
        <f t="shared" si="39"/>
        <v>310</v>
      </c>
      <c r="L542" s="38">
        <v>0</v>
      </c>
    </row>
    <row r="543" spans="1:12" customFormat="1" x14ac:dyDescent="0.2">
      <c r="A543" s="299"/>
      <c r="B543" s="49" t="s">
        <v>67</v>
      </c>
      <c r="C543" s="58" t="s">
        <v>232</v>
      </c>
      <c r="D543" s="59" t="s">
        <v>320</v>
      </c>
      <c r="E543" s="306"/>
      <c r="F543" s="162">
        <v>1416</v>
      </c>
      <c r="G543" s="303"/>
      <c r="H543" s="162">
        <f t="shared" si="40"/>
        <v>0.21892655367231639</v>
      </c>
      <c r="I543" s="40">
        <v>0</v>
      </c>
      <c r="J543" s="63">
        <f t="shared" si="38"/>
        <v>310</v>
      </c>
      <c r="K543" s="39">
        <f t="shared" si="39"/>
        <v>310</v>
      </c>
      <c r="L543" s="38">
        <v>0</v>
      </c>
    </row>
    <row r="544" spans="1:12" customFormat="1" x14ac:dyDescent="0.2">
      <c r="A544" s="299"/>
      <c r="B544" s="83" t="s">
        <v>67</v>
      </c>
      <c r="C544" s="84" t="s">
        <v>232</v>
      </c>
      <c r="D544" s="85" t="s">
        <v>534</v>
      </c>
      <c r="E544" s="306"/>
      <c r="F544" s="162">
        <v>11385</v>
      </c>
      <c r="G544" s="303"/>
      <c r="H544" s="162">
        <f>I544/F544</f>
        <v>0.13895476504172155</v>
      </c>
      <c r="I544" s="40">
        <v>1582</v>
      </c>
      <c r="J544" s="63">
        <f t="shared" si="38"/>
        <v>0</v>
      </c>
      <c r="K544" s="39">
        <f t="shared" si="39"/>
        <v>1581.9999999999998</v>
      </c>
      <c r="L544" s="38">
        <v>9</v>
      </c>
    </row>
    <row r="545" spans="1:12" customFormat="1" x14ac:dyDescent="0.2">
      <c r="A545" s="299"/>
      <c r="B545" s="83" t="s">
        <v>67</v>
      </c>
      <c r="C545" s="84" t="s">
        <v>232</v>
      </c>
      <c r="D545" s="85" t="s">
        <v>535</v>
      </c>
      <c r="E545" s="307"/>
      <c r="F545" s="162">
        <v>1616</v>
      </c>
      <c r="G545" s="304"/>
      <c r="H545" s="162">
        <f>I545/F545</f>
        <v>0.49504950495049505</v>
      </c>
      <c r="I545" s="40">
        <v>800</v>
      </c>
      <c r="J545" s="63">
        <f t="shared" si="38"/>
        <v>0</v>
      </c>
      <c r="K545" s="39">
        <f t="shared" si="39"/>
        <v>800</v>
      </c>
      <c r="L545" s="38">
        <v>4</v>
      </c>
    </row>
    <row r="546" spans="1:12" customFormat="1" x14ac:dyDescent="0.2">
      <c r="A546" s="299"/>
      <c r="B546" s="49" t="s">
        <v>67</v>
      </c>
      <c r="C546" s="58" t="s">
        <v>218</v>
      </c>
      <c r="D546" s="59" t="s">
        <v>321</v>
      </c>
      <c r="E546" s="305">
        <v>16292.105312</v>
      </c>
      <c r="F546" s="162">
        <v>563</v>
      </c>
      <c r="G546" s="302">
        <f>SUM(K546:K551)/E546</f>
        <v>0.327766111115597</v>
      </c>
      <c r="H546" s="162">
        <f t="shared" si="40"/>
        <v>0.55062166962699821</v>
      </c>
      <c r="I546" s="40">
        <v>0</v>
      </c>
      <c r="J546" s="63">
        <f t="shared" si="38"/>
        <v>310</v>
      </c>
      <c r="K546" s="39">
        <f t="shared" si="39"/>
        <v>310</v>
      </c>
      <c r="L546" s="38">
        <v>0</v>
      </c>
    </row>
    <row r="547" spans="1:12" customFormat="1" x14ac:dyDescent="0.2">
      <c r="A547" s="299"/>
      <c r="B547" s="49" t="s">
        <v>67</v>
      </c>
      <c r="C547" s="58" t="s">
        <v>218</v>
      </c>
      <c r="D547" s="59" t="s">
        <v>322</v>
      </c>
      <c r="E547" s="306"/>
      <c r="F547" s="162">
        <v>862</v>
      </c>
      <c r="G547" s="303"/>
      <c r="H547" s="162">
        <f t="shared" si="40"/>
        <v>0.35962877030162416</v>
      </c>
      <c r="I547" s="40">
        <v>0</v>
      </c>
      <c r="J547" s="63">
        <f t="shared" si="38"/>
        <v>310</v>
      </c>
      <c r="K547" s="39">
        <f t="shared" si="39"/>
        <v>310</v>
      </c>
      <c r="L547" s="38">
        <v>0</v>
      </c>
    </row>
    <row r="548" spans="1:12" customFormat="1" x14ac:dyDescent="0.2">
      <c r="A548" s="299"/>
      <c r="B548" s="49" t="s">
        <v>67</v>
      </c>
      <c r="C548" s="58" t="s">
        <v>218</v>
      </c>
      <c r="D548" s="59" t="s">
        <v>323</v>
      </c>
      <c r="E548" s="306"/>
      <c r="F548" s="162">
        <v>786</v>
      </c>
      <c r="G548" s="303"/>
      <c r="H548" s="162">
        <f t="shared" si="40"/>
        <v>0.3944020356234097</v>
      </c>
      <c r="I548" s="40">
        <v>0</v>
      </c>
      <c r="J548" s="63">
        <f t="shared" si="38"/>
        <v>310</v>
      </c>
      <c r="K548" s="39">
        <f t="shared" si="39"/>
        <v>310</v>
      </c>
      <c r="L548" s="38">
        <v>0</v>
      </c>
    </row>
    <row r="549" spans="1:12" customFormat="1" x14ac:dyDescent="0.2">
      <c r="A549" s="299"/>
      <c r="B549" s="49" t="s">
        <v>67</v>
      </c>
      <c r="C549" s="58" t="s">
        <v>218</v>
      </c>
      <c r="D549" s="59" t="s">
        <v>324</v>
      </c>
      <c r="E549" s="306"/>
      <c r="F549" s="162">
        <v>913</v>
      </c>
      <c r="G549" s="303"/>
      <c r="H549" s="162">
        <f t="shared" si="40"/>
        <v>0.33953997809419495</v>
      </c>
      <c r="I549" s="40">
        <v>0</v>
      </c>
      <c r="J549" s="63">
        <f t="shared" si="38"/>
        <v>310</v>
      </c>
      <c r="K549" s="39">
        <f t="shared" si="39"/>
        <v>310</v>
      </c>
      <c r="L549" s="38">
        <v>0</v>
      </c>
    </row>
    <row r="550" spans="1:12" customFormat="1" x14ac:dyDescent="0.2">
      <c r="A550" s="299"/>
      <c r="B550" s="83" t="s">
        <v>67</v>
      </c>
      <c r="C550" s="84" t="s">
        <v>218</v>
      </c>
      <c r="D550" s="85" t="s">
        <v>325</v>
      </c>
      <c r="E550" s="306"/>
      <c r="F550" s="162">
        <v>10694</v>
      </c>
      <c r="G550" s="303"/>
      <c r="H550" s="162">
        <f>I550/F550</f>
        <v>0.32728632878249486</v>
      </c>
      <c r="I550" s="40">
        <v>3500</v>
      </c>
      <c r="J550" s="63">
        <f t="shared" si="38"/>
        <v>0</v>
      </c>
      <c r="K550" s="39">
        <f t="shared" si="39"/>
        <v>3500</v>
      </c>
      <c r="L550" s="38">
        <v>10</v>
      </c>
    </row>
    <row r="551" spans="1:12" customFormat="1" x14ac:dyDescent="0.2">
      <c r="A551" s="299"/>
      <c r="B551" s="83" t="s">
        <v>67</v>
      </c>
      <c r="C551" s="84" t="s">
        <v>218</v>
      </c>
      <c r="D551" s="85" t="s">
        <v>326</v>
      </c>
      <c r="E551" s="307"/>
      <c r="F551" s="162">
        <v>1163</v>
      </c>
      <c r="G551" s="304"/>
      <c r="H551" s="162">
        <f>I551/F551</f>
        <v>0.51590713671539123</v>
      </c>
      <c r="I551" s="40">
        <v>600</v>
      </c>
      <c r="J551" s="63">
        <f t="shared" si="38"/>
        <v>0</v>
      </c>
      <c r="K551" s="39">
        <f t="shared" si="39"/>
        <v>600</v>
      </c>
      <c r="L551" s="38">
        <v>2</v>
      </c>
    </row>
    <row r="552" spans="1:12" customFormat="1" x14ac:dyDescent="0.2">
      <c r="A552" s="299"/>
      <c r="B552" s="49" t="s">
        <v>67</v>
      </c>
      <c r="C552" s="58" t="s">
        <v>228</v>
      </c>
      <c r="D552" s="59" t="s">
        <v>321</v>
      </c>
      <c r="E552" s="305">
        <v>36846.946154999998</v>
      </c>
      <c r="F552" s="162">
        <v>629</v>
      </c>
      <c r="G552" s="302">
        <f>SUM(K552:K566)/E552</f>
        <v>0.27608800895483604</v>
      </c>
      <c r="H552" s="162">
        <f t="shared" si="40"/>
        <v>0.49284578696343401</v>
      </c>
      <c r="I552" s="40">
        <v>0</v>
      </c>
      <c r="J552" s="63">
        <f t="shared" si="38"/>
        <v>310</v>
      </c>
      <c r="K552" s="39">
        <f t="shared" si="39"/>
        <v>310</v>
      </c>
      <c r="L552" s="38">
        <v>0</v>
      </c>
    </row>
    <row r="553" spans="1:12" customFormat="1" x14ac:dyDescent="0.2">
      <c r="A553" s="299"/>
      <c r="B553" s="49" t="s">
        <v>67</v>
      </c>
      <c r="C553" s="58" t="s">
        <v>228</v>
      </c>
      <c r="D553" s="59" t="s">
        <v>322</v>
      </c>
      <c r="E553" s="306"/>
      <c r="F553" s="162">
        <v>610</v>
      </c>
      <c r="G553" s="303"/>
      <c r="H553" s="162">
        <f t="shared" si="40"/>
        <v>0.50819672131147542</v>
      </c>
      <c r="I553" s="40">
        <v>0</v>
      </c>
      <c r="J553" s="63">
        <f t="shared" si="38"/>
        <v>310</v>
      </c>
      <c r="K553" s="39">
        <f t="shared" si="39"/>
        <v>310</v>
      </c>
      <c r="L553" s="38">
        <v>0</v>
      </c>
    </row>
    <row r="554" spans="1:12" customFormat="1" x14ac:dyDescent="0.2">
      <c r="A554" s="299"/>
      <c r="B554" s="49" t="s">
        <v>67</v>
      </c>
      <c r="C554" s="58" t="s">
        <v>228</v>
      </c>
      <c r="D554" s="59" t="s">
        <v>323</v>
      </c>
      <c r="E554" s="306"/>
      <c r="F554" s="162">
        <v>1048</v>
      </c>
      <c r="G554" s="303"/>
      <c r="H554" s="162">
        <f t="shared" si="40"/>
        <v>0.29580152671755727</v>
      </c>
      <c r="I554" s="40">
        <v>0</v>
      </c>
      <c r="J554" s="63">
        <f t="shared" si="38"/>
        <v>310</v>
      </c>
      <c r="K554" s="39">
        <f t="shared" si="39"/>
        <v>310</v>
      </c>
      <c r="L554" s="38">
        <v>0</v>
      </c>
    </row>
    <row r="555" spans="1:12" customFormat="1" x14ac:dyDescent="0.2">
      <c r="A555" s="299"/>
      <c r="B555" s="49" t="s">
        <v>67</v>
      </c>
      <c r="C555" s="58" t="s">
        <v>228</v>
      </c>
      <c r="D555" s="59" t="s">
        <v>324</v>
      </c>
      <c r="E555" s="306"/>
      <c r="F555" s="162">
        <v>999</v>
      </c>
      <c r="G555" s="303"/>
      <c r="H555" s="162">
        <f t="shared" si="40"/>
        <v>0.31031031031031031</v>
      </c>
      <c r="I555" s="40">
        <v>0</v>
      </c>
      <c r="J555" s="63">
        <f t="shared" si="38"/>
        <v>310</v>
      </c>
      <c r="K555" s="39">
        <f t="shared" si="39"/>
        <v>310</v>
      </c>
      <c r="L555" s="38">
        <v>0</v>
      </c>
    </row>
    <row r="556" spans="1:12" customFormat="1" x14ac:dyDescent="0.2">
      <c r="A556" s="299"/>
      <c r="B556" s="49" t="s">
        <v>67</v>
      </c>
      <c r="C556" s="58" t="s">
        <v>228</v>
      </c>
      <c r="D556" s="59" t="s">
        <v>325</v>
      </c>
      <c r="E556" s="306"/>
      <c r="F556" s="162">
        <v>643</v>
      </c>
      <c r="G556" s="303"/>
      <c r="H556" s="162">
        <f t="shared" si="40"/>
        <v>0.48211508553654742</v>
      </c>
      <c r="I556" s="40">
        <v>0</v>
      </c>
      <c r="J556" s="63">
        <f t="shared" si="38"/>
        <v>310</v>
      </c>
      <c r="K556" s="39">
        <f t="shared" si="39"/>
        <v>310</v>
      </c>
      <c r="L556" s="38">
        <v>0</v>
      </c>
    </row>
    <row r="557" spans="1:12" customFormat="1" x14ac:dyDescent="0.2">
      <c r="A557" s="299"/>
      <c r="B557" s="49" t="s">
        <v>67</v>
      </c>
      <c r="C557" s="58" t="s">
        <v>228</v>
      </c>
      <c r="D557" s="59" t="s">
        <v>326</v>
      </c>
      <c r="E557" s="306"/>
      <c r="F557" s="162">
        <v>1128</v>
      </c>
      <c r="G557" s="303"/>
      <c r="H557" s="162">
        <f t="shared" si="40"/>
        <v>0.27482269503546097</v>
      </c>
      <c r="I557" s="40">
        <v>0</v>
      </c>
      <c r="J557" s="63">
        <f t="shared" si="38"/>
        <v>310</v>
      </c>
      <c r="K557" s="39">
        <f t="shared" si="39"/>
        <v>310</v>
      </c>
      <c r="L557" s="38">
        <v>0</v>
      </c>
    </row>
    <row r="558" spans="1:12" customFormat="1" x14ac:dyDescent="0.2">
      <c r="A558" s="299"/>
      <c r="B558" s="49" t="s">
        <v>67</v>
      </c>
      <c r="C558" s="58" t="s">
        <v>228</v>
      </c>
      <c r="D558" s="59" t="s">
        <v>327</v>
      </c>
      <c r="E558" s="306"/>
      <c r="F558" s="162">
        <v>1581</v>
      </c>
      <c r="G558" s="303"/>
      <c r="H558" s="162">
        <f t="shared" si="40"/>
        <v>0.19607843137254902</v>
      </c>
      <c r="I558" s="40">
        <v>0</v>
      </c>
      <c r="J558" s="63">
        <f t="shared" si="38"/>
        <v>310</v>
      </c>
      <c r="K558" s="39">
        <f t="shared" si="39"/>
        <v>310</v>
      </c>
      <c r="L558" s="38">
        <v>0</v>
      </c>
    </row>
    <row r="559" spans="1:12" customFormat="1" x14ac:dyDescent="0.2">
      <c r="A559" s="299"/>
      <c r="B559" s="49" t="s">
        <v>67</v>
      </c>
      <c r="C559" s="58" t="s">
        <v>228</v>
      </c>
      <c r="D559" s="59" t="s">
        <v>328</v>
      </c>
      <c r="E559" s="306"/>
      <c r="F559" s="162">
        <v>1509</v>
      </c>
      <c r="G559" s="303"/>
      <c r="H559" s="162">
        <f t="shared" si="40"/>
        <v>0.20543406229290923</v>
      </c>
      <c r="I559" s="40">
        <v>0</v>
      </c>
      <c r="J559" s="63">
        <f t="shared" si="38"/>
        <v>310</v>
      </c>
      <c r="K559" s="39">
        <f t="shared" si="39"/>
        <v>310</v>
      </c>
      <c r="L559" s="38">
        <v>0</v>
      </c>
    </row>
    <row r="560" spans="1:12" customFormat="1" x14ac:dyDescent="0.2">
      <c r="A560" s="299"/>
      <c r="B560" s="49" t="s">
        <v>67</v>
      </c>
      <c r="C560" s="58" t="s">
        <v>228</v>
      </c>
      <c r="D560" s="59" t="s">
        <v>329</v>
      </c>
      <c r="E560" s="306"/>
      <c r="F560" s="162">
        <v>1400</v>
      </c>
      <c r="G560" s="303"/>
      <c r="H560" s="162">
        <f t="shared" si="40"/>
        <v>0.22142857142857142</v>
      </c>
      <c r="I560" s="40">
        <v>0</v>
      </c>
      <c r="J560" s="63">
        <f t="shared" si="38"/>
        <v>310</v>
      </c>
      <c r="K560" s="39">
        <f t="shared" si="39"/>
        <v>310</v>
      </c>
      <c r="L560" s="38">
        <v>0</v>
      </c>
    </row>
    <row r="561" spans="1:12" customFormat="1" x14ac:dyDescent="0.2">
      <c r="A561" s="299"/>
      <c r="B561" s="49" t="s">
        <v>67</v>
      </c>
      <c r="C561" s="58" t="s">
        <v>228</v>
      </c>
      <c r="D561" s="59" t="s">
        <v>330</v>
      </c>
      <c r="E561" s="306"/>
      <c r="F561" s="162">
        <v>1534</v>
      </c>
      <c r="G561" s="303"/>
      <c r="H561" s="162">
        <f t="shared" si="40"/>
        <v>0.20208604954367665</v>
      </c>
      <c r="I561" s="40">
        <v>0</v>
      </c>
      <c r="J561" s="63">
        <f t="shared" si="38"/>
        <v>310</v>
      </c>
      <c r="K561" s="39">
        <f t="shared" si="39"/>
        <v>310</v>
      </c>
      <c r="L561" s="38">
        <v>0</v>
      </c>
    </row>
    <row r="562" spans="1:12" customFormat="1" x14ac:dyDescent="0.2">
      <c r="A562" s="299"/>
      <c r="B562" s="49" t="s">
        <v>67</v>
      </c>
      <c r="C562" s="58" t="s">
        <v>228</v>
      </c>
      <c r="D562" s="59" t="s">
        <v>331</v>
      </c>
      <c r="E562" s="306"/>
      <c r="F562" s="162">
        <v>1207</v>
      </c>
      <c r="G562" s="303"/>
      <c r="H562" s="162">
        <f t="shared" si="40"/>
        <v>0.25683512841756423</v>
      </c>
      <c r="I562" s="40">
        <v>0</v>
      </c>
      <c r="J562" s="63">
        <f t="shared" si="38"/>
        <v>310</v>
      </c>
      <c r="K562" s="39">
        <f t="shared" si="39"/>
        <v>310</v>
      </c>
      <c r="L562" s="38">
        <v>0</v>
      </c>
    </row>
    <row r="563" spans="1:12" customFormat="1" x14ac:dyDescent="0.2">
      <c r="A563" s="299"/>
      <c r="B563" s="49" t="s">
        <v>67</v>
      </c>
      <c r="C563" s="58" t="s">
        <v>228</v>
      </c>
      <c r="D563" s="59" t="s">
        <v>332</v>
      </c>
      <c r="E563" s="306"/>
      <c r="F563" s="162">
        <v>1368</v>
      </c>
      <c r="G563" s="303"/>
      <c r="H563" s="162">
        <f t="shared" si="40"/>
        <v>0.22660818713450293</v>
      </c>
      <c r="I563" s="40">
        <v>0</v>
      </c>
      <c r="J563" s="63">
        <f t="shared" si="38"/>
        <v>310</v>
      </c>
      <c r="K563" s="39">
        <f t="shared" si="39"/>
        <v>310</v>
      </c>
      <c r="L563" s="38">
        <v>0</v>
      </c>
    </row>
    <row r="564" spans="1:12" customFormat="1" x14ac:dyDescent="0.2">
      <c r="A564" s="299"/>
      <c r="B564" s="49" t="s">
        <v>67</v>
      </c>
      <c r="C564" s="58" t="s">
        <v>228</v>
      </c>
      <c r="D564" s="59" t="s">
        <v>333</v>
      </c>
      <c r="E564" s="306"/>
      <c r="F564" s="162">
        <v>326</v>
      </c>
      <c r="G564" s="303"/>
      <c r="H564" s="162">
        <f t="shared" si="40"/>
        <v>0.95092024539877296</v>
      </c>
      <c r="I564" s="40">
        <v>0</v>
      </c>
      <c r="J564" s="63">
        <f t="shared" si="38"/>
        <v>310</v>
      </c>
      <c r="K564" s="39">
        <f t="shared" si="39"/>
        <v>310</v>
      </c>
      <c r="L564" s="38">
        <v>0</v>
      </c>
    </row>
    <row r="565" spans="1:12" customFormat="1" x14ac:dyDescent="0.2">
      <c r="A565" s="299"/>
      <c r="B565" s="83" t="s">
        <v>67</v>
      </c>
      <c r="C565" s="84" t="s">
        <v>228</v>
      </c>
      <c r="D565" s="85" t="s">
        <v>536</v>
      </c>
      <c r="E565" s="306"/>
      <c r="F565" s="162">
        <v>1603</v>
      </c>
      <c r="G565" s="303"/>
      <c r="H565" s="162">
        <f>I565/F565</f>
        <v>0.49906425452276981</v>
      </c>
      <c r="I565" s="40">
        <v>800</v>
      </c>
      <c r="J565" s="63">
        <f t="shared" si="38"/>
        <v>0</v>
      </c>
      <c r="K565" s="39">
        <f t="shared" si="39"/>
        <v>800</v>
      </c>
      <c r="L565" s="38">
        <v>3</v>
      </c>
    </row>
    <row r="566" spans="1:12" customFormat="1" x14ac:dyDescent="0.2">
      <c r="A566" s="299"/>
      <c r="B566" s="83" t="s">
        <v>67</v>
      </c>
      <c r="C566" s="84" t="s">
        <v>228</v>
      </c>
      <c r="D566" s="85" t="s">
        <v>537</v>
      </c>
      <c r="E566" s="307"/>
      <c r="F566" s="162">
        <v>16618</v>
      </c>
      <c r="G566" s="304"/>
      <c r="H566" s="162">
        <f>I566/F566</f>
        <v>0.32151883499819472</v>
      </c>
      <c r="I566" s="40">
        <v>5343</v>
      </c>
      <c r="J566" s="63">
        <f t="shared" si="38"/>
        <v>0</v>
      </c>
      <c r="K566" s="39">
        <f t="shared" si="39"/>
        <v>5343</v>
      </c>
      <c r="L566" s="38">
        <v>16</v>
      </c>
    </row>
    <row r="567" spans="1:12" customFormat="1" x14ac:dyDescent="0.2">
      <c r="A567" s="299"/>
      <c r="B567" s="49" t="s">
        <v>67</v>
      </c>
      <c r="C567" s="58" t="s">
        <v>218</v>
      </c>
      <c r="D567" s="59" t="s">
        <v>349</v>
      </c>
      <c r="E567" s="305">
        <f>12504.85624+6734.713417</f>
        <v>19239.569657</v>
      </c>
      <c r="F567" s="162">
        <v>575</v>
      </c>
      <c r="G567" s="302">
        <f>SUM(K567:K580)/E567</f>
        <v>0.3301529147087201</v>
      </c>
      <c r="H567" s="162">
        <f t="shared" si="40"/>
        <v>0.53913043478260869</v>
      </c>
      <c r="I567" s="40">
        <v>0</v>
      </c>
      <c r="J567" s="63">
        <f t="shared" si="38"/>
        <v>310</v>
      </c>
      <c r="K567" s="39">
        <f t="shared" si="39"/>
        <v>310</v>
      </c>
      <c r="L567" s="38">
        <v>0</v>
      </c>
    </row>
    <row r="568" spans="1:12" customFormat="1" x14ac:dyDescent="0.2">
      <c r="A568" s="299"/>
      <c r="B568" s="49" t="s">
        <v>67</v>
      </c>
      <c r="C568" s="58" t="s">
        <v>218</v>
      </c>
      <c r="D568" s="59" t="s">
        <v>350</v>
      </c>
      <c r="E568" s="306"/>
      <c r="F568" s="162">
        <v>692</v>
      </c>
      <c r="G568" s="303"/>
      <c r="H568" s="162">
        <f t="shared" si="40"/>
        <v>0.44797687861271679</v>
      </c>
      <c r="I568" s="40">
        <v>0</v>
      </c>
      <c r="J568" s="63">
        <f t="shared" si="38"/>
        <v>310</v>
      </c>
      <c r="K568" s="39">
        <f t="shared" si="39"/>
        <v>310</v>
      </c>
      <c r="L568" s="38">
        <v>0</v>
      </c>
    </row>
    <row r="569" spans="1:12" customFormat="1" x14ac:dyDescent="0.2">
      <c r="A569" s="299"/>
      <c r="B569" s="49" t="s">
        <v>67</v>
      </c>
      <c r="C569" s="58" t="s">
        <v>218</v>
      </c>
      <c r="D569" s="59" t="s">
        <v>351</v>
      </c>
      <c r="E569" s="306"/>
      <c r="F569" s="162">
        <v>960</v>
      </c>
      <c r="G569" s="303"/>
      <c r="H569" s="162">
        <f t="shared" si="40"/>
        <v>0.32291666666666669</v>
      </c>
      <c r="I569" s="40">
        <v>0</v>
      </c>
      <c r="J569" s="63">
        <f t="shared" si="38"/>
        <v>310</v>
      </c>
      <c r="K569" s="39">
        <f t="shared" si="39"/>
        <v>310</v>
      </c>
      <c r="L569" s="38">
        <v>0</v>
      </c>
    </row>
    <row r="570" spans="1:12" customFormat="1" x14ac:dyDescent="0.2">
      <c r="A570" s="299"/>
      <c r="B570" s="49" t="s">
        <v>67</v>
      </c>
      <c r="C570" s="58" t="s">
        <v>218</v>
      </c>
      <c r="D570" s="59" t="s">
        <v>352</v>
      </c>
      <c r="E570" s="306"/>
      <c r="F570" s="162">
        <v>988</v>
      </c>
      <c r="G570" s="303"/>
      <c r="H570" s="162">
        <f t="shared" si="40"/>
        <v>0.31376518218623484</v>
      </c>
      <c r="I570" s="40">
        <v>0</v>
      </c>
      <c r="J570" s="63">
        <f t="shared" si="38"/>
        <v>310</v>
      </c>
      <c r="K570" s="39">
        <f t="shared" si="39"/>
        <v>310</v>
      </c>
      <c r="L570" s="38">
        <v>0</v>
      </c>
    </row>
    <row r="571" spans="1:12" customFormat="1" x14ac:dyDescent="0.2">
      <c r="A571" s="299"/>
      <c r="B571" s="49" t="s">
        <v>67</v>
      </c>
      <c r="C571" s="58" t="s">
        <v>218</v>
      </c>
      <c r="D571" s="59" t="s">
        <v>353</v>
      </c>
      <c r="E571" s="306"/>
      <c r="F571" s="162">
        <v>940</v>
      </c>
      <c r="G571" s="303"/>
      <c r="H571" s="162">
        <f t="shared" si="40"/>
        <v>0.32978723404255317</v>
      </c>
      <c r="I571" s="40">
        <v>0</v>
      </c>
      <c r="J571" s="63">
        <f t="shared" si="38"/>
        <v>310</v>
      </c>
      <c r="K571" s="39">
        <f t="shared" si="39"/>
        <v>310</v>
      </c>
      <c r="L571" s="38">
        <v>0</v>
      </c>
    </row>
    <row r="572" spans="1:12" customFormat="1" x14ac:dyDescent="0.2">
      <c r="A572" s="299"/>
      <c r="B572" s="49" t="s">
        <v>67</v>
      </c>
      <c r="C572" s="58" t="s">
        <v>218</v>
      </c>
      <c r="D572" s="59" t="s">
        <v>354</v>
      </c>
      <c r="E572" s="306"/>
      <c r="F572" s="162">
        <v>881</v>
      </c>
      <c r="G572" s="303"/>
      <c r="H572" s="162">
        <f t="shared" si="40"/>
        <v>0.35187287173666287</v>
      </c>
      <c r="I572" s="40">
        <v>0</v>
      </c>
      <c r="J572" s="63">
        <f t="shared" si="38"/>
        <v>310</v>
      </c>
      <c r="K572" s="39">
        <f t="shared" si="39"/>
        <v>310</v>
      </c>
      <c r="L572" s="38">
        <v>0</v>
      </c>
    </row>
    <row r="573" spans="1:12" customFormat="1" x14ac:dyDescent="0.2">
      <c r="A573" s="299"/>
      <c r="B573" s="49" t="s">
        <v>67</v>
      </c>
      <c r="C573" s="58" t="s">
        <v>218</v>
      </c>
      <c r="D573" s="59" t="s">
        <v>355</v>
      </c>
      <c r="E573" s="306"/>
      <c r="F573" s="162">
        <v>1366</v>
      </c>
      <c r="G573" s="303"/>
      <c r="H573" s="162">
        <f t="shared" si="40"/>
        <v>0.22693997071742314</v>
      </c>
      <c r="I573" s="40">
        <v>0</v>
      </c>
      <c r="J573" s="63">
        <f t="shared" si="38"/>
        <v>310</v>
      </c>
      <c r="K573" s="39">
        <f t="shared" si="39"/>
        <v>310</v>
      </c>
      <c r="L573" s="38">
        <v>0</v>
      </c>
    </row>
    <row r="574" spans="1:12" customFormat="1" x14ac:dyDescent="0.2">
      <c r="A574" s="299"/>
      <c r="B574" s="49" t="s">
        <v>67</v>
      </c>
      <c r="C574" s="58" t="s">
        <v>218</v>
      </c>
      <c r="D574" s="59" t="s">
        <v>356</v>
      </c>
      <c r="E574" s="306"/>
      <c r="F574" s="162">
        <v>546</v>
      </c>
      <c r="G574" s="303"/>
      <c r="H574" s="162">
        <f t="shared" si="40"/>
        <v>0.56776556776556775</v>
      </c>
      <c r="I574" s="40">
        <v>0</v>
      </c>
      <c r="J574" s="63">
        <f t="shared" si="38"/>
        <v>310</v>
      </c>
      <c r="K574" s="39">
        <f t="shared" si="39"/>
        <v>310</v>
      </c>
      <c r="L574" s="38">
        <v>0</v>
      </c>
    </row>
    <row r="575" spans="1:12" customFormat="1" x14ac:dyDescent="0.2">
      <c r="A575" s="299"/>
      <c r="B575" s="49" t="s">
        <v>67</v>
      </c>
      <c r="C575" s="58" t="s">
        <v>218</v>
      </c>
      <c r="D575" s="59" t="s">
        <v>357</v>
      </c>
      <c r="E575" s="306"/>
      <c r="F575" s="162">
        <v>1668</v>
      </c>
      <c r="G575" s="303"/>
      <c r="H575" s="162">
        <f t="shared" si="40"/>
        <v>0.18585131894484413</v>
      </c>
      <c r="I575" s="40">
        <v>0</v>
      </c>
      <c r="J575" s="63">
        <f t="shared" ref="J575:J638" si="41">K575-I575</f>
        <v>310</v>
      </c>
      <c r="K575" s="39">
        <f t="shared" ref="K575:K638" si="42">F575*H575</f>
        <v>310</v>
      </c>
      <c r="L575" s="38">
        <v>0</v>
      </c>
    </row>
    <row r="576" spans="1:12" customFormat="1" x14ac:dyDescent="0.2">
      <c r="A576" s="299"/>
      <c r="B576" s="49" t="s">
        <v>67</v>
      </c>
      <c r="C576" s="58" t="s">
        <v>218</v>
      </c>
      <c r="D576" s="59" t="s">
        <v>358</v>
      </c>
      <c r="E576" s="306"/>
      <c r="F576" s="162">
        <v>1455</v>
      </c>
      <c r="G576" s="303"/>
      <c r="H576" s="162">
        <f t="shared" si="40"/>
        <v>0.21305841924398625</v>
      </c>
      <c r="I576" s="40">
        <v>0</v>
      </c>
      <c r="J576" s="63">
        <f t="shared" si="41"/>
        <v>310</v>
      </c>
      <c r="K576" s="39">
        <f t="shared" si="42"/>
        <v>310</v>
      </c>
      <c r="L576" s="38">
        <v>0</v>
      </c>
    </row>
    <row r="577" spans="1:12" customFormat="1" x14ac:dyDescent="0.2">
      <c r="A577" s="299"/>
      <c r="B577" s="83" t="s">
        <v>67</v>
      </c>
      <c r="C577" s="84" t="s">
        <v>218</v>
      </c>
      <c r="D577" s="85" t="s">
        <v>359</v>
      </c>
      <c r="E577" s="306"/>
      <c r="F577" s="162">
        <v>4305</v>
      </c>
      <c r="G577" s="303"/>
      <c r="H577" s="162">
        <f>I577/F577</f>
        <v>0.32520325203252032</v>
      </c>
      <c r="I577" s="40">
        <v>1400</v>
      </c>
      <c r="J577" s="63">
        <f t="shared" si="41"/>
        <v>0</v>
      </c>
      <c r="K577" s="39">
        <f t="shared" si="42"/>
        <v>1400</v>
      </c>
      <c r="L577" s="38">
        <v>5</v>
      </c>
    </row>
    <row r="578" spans="1:12" customFormat="1" x14ac:dyDescent="0.2">
      <c r="A578" s="299"/>
      <c r="B578" s="83" t="s">
        <v>67</v>
      </c>
      <c r="C578" s="84" t="s">
        <v>218</v>
      </c>
      <c r="D578" s="85" t="s">
        <v>360</v>
      </c>
      <c r="E578" s="306"/>
      <c r="F578" s="162">
        <v>2853</v>
      </c>
      <c r="G578" s="303"/>
      <c r="H578" s="162">
        <f>I578/F578</f>
        <v>0.40308447248510337</v>
      </c>
      <c r="I578" s="40">
        <v>1150</v>
      </c>
      <c r="J578" s="63">
        <f t="shared" si="41"/>
        <v>0</v>
      </c>
      <c r="K578" s="39">
        <f t="shared" si="42"/>
        <v>1150</v>
      </c>
      <c r="L578" s="38">
        <v>2</v>
      </c>
    </row>
    <row r="579" spans="1:12" customFormat="1" x14ac:dyDescent="0.2">
      <c r="A579" s="299"/>
      <c r="B579" s="83" t="s">
        <v>67</v>
      </c>
      <c r="C579" s="84" t="s">
        <v>218</v>
      </c>
      <c r="D579" s="85" t="s">
        <v>361</v>
      </c>
      <c r="E579" s="306"/>
      <c r="F579" s="162">
        <v>1442</v>
      </c>
      <c r="G579" s="303"/>
      <c r="H579" s="162">
        <f>I579/F579</f>
        <v>0.38280166435506241</v>
      </c>
      <c r="I579" s="40">
        <v>552</v>
      </c>
      <c r="J579" s="63">
        <f t="shared" si="41"/>
        <v>0</v>
      </c>
      <c r="K579" s="39">
        <f t="shared" si="42"/>
        <v>552</v>
      </c>
      <c r="L579" s="38">
        <v>2</v>
      </c>
    </row>
    <row r="580" spans="1:12" customFormat="1" x14ac:dyDescent="0.2">
      <c r="A580" s="299"/>
      <c r="B580" s="83" t="s">
        <v>67</v>
      </c>
      <c r="C580" s="84" t="s">
        <v>218</v>
      </c>
      <c r="D580" s="85" t="s">
        <v>538</v>
      </c>
      <c r="E580" s="307"/>
      <c r="F580" s="162">
        <v>303</v>
      </c>
      <c r="G580" s="304"/>
      <c r="H580" s="162">
        <f>I580/F580</f>
        <v>0.49504950495049505</v>
      </c>
      <c r="I580" s="40">
        <v>150</v>
      </c>
      <c r="J580" s="63">
        <f t="shared" si="41"/>
        <v>0</v>
      </c>
      <c r="K580" s="39">
        <f t="shared" si="42"/>
        <v>150</v>
      </c>
      <c r="L580" s="38">
        <v>1</v>
      </c>
    </row>
    <row r="581" spans="1:12" customFormat="1" x14ac:dyDescent="0.2">
      <c r="A581" s="299"/>
      <c r="B581" s="49" t="s">
        <v>67</v>
      </c>
      <c r="C581" s="58" t="s">
        <v>228</v>
      </c>
      <c r="D581" s="13" t="s">
        <v>349</v>
      </c>
      <c r="E581" s="305">
        <v>24220.117607</v>
      </c>
      <c r="F581" s="162">
        <v>857</v>
      </c>
      <c r="G581" s="302">
        <f>SUM(K581:K589)/E581</f>
        <v>0.21717483314283231</v>
      </c>
      <c r="H581" s="162">
        <f t="shared" si="40"/>
        <v>0.36172695449241538</v>
      </c>
      <c r="I581" s="40">
        <v>0</v>
      </c>
      <c r="J581" s="63">
        <f t="shared" si="41"/>
        <v>310</v>
      </c>
      <c r="K581" s="39">
        <f t="shared" si="42"/>
        <v>310</v>
      </c>
      <c r="L581" s="38">
        <v>0</v>
      </c>
    </row>
    <row r="582" spans="1:12" customFormat="1" x14ac:dyDescent="0.2">
      <c r="A582" s="299"/>
      <c r="B582" s="49" t="s">
        <v>67</v>
      </c>
      <c r="C582" s="58" t="s">
        <v>228</v>
      </c>
      <c r="D582" s="13" t="s">
        <v>350</v>
      </c>
      <c r="E582" s="306"/>
      <c r="F582" s="162">
        <v>664</v>
      </c>
      <c r="G582" s="303"/>
      <c r="H582" s="162">
        <f t="shared" si="40"/>
        <v>0.46686746987951805</v>
      </c>
      <c r="I582" s="40">
        <v>0</v>
      </c>
      <c r="J582" s="63">
        <f t="shared" si="41"/>
        <v>310</v>
      </c>
      <c r="K582" s="39">
        <f t="shared" si="42"/>
        <v>310</v>
      </c>
      <c r="L582" s="38">
        <v>0</v>
      </c>
    </row>
    <row r="583" spans="1:12" customFormat="1" x14ac:dyDescent="0.2">
      <c r="A583" s="299"/>
      <c r="B583" s="49" t="s">
        <v>67</v>
      </c>
      <c r="C583" s="58" t="s">
        <v>228</v>
      </c>
      <c r="D583" s="13" t="s">
        <v>351</v>
      </c>
      <c r="E583" s="306"/>
      <c r="F583" s="162">
        <v>686</v>
      </c>
      <c r="G583" s="303"/>
      <c r="H583" s="162">
        <f t="shared" si="40"/>
        <v>0.45189504373177841</v>
      </c>
      <c r="I583" s="40">
        <v>0</v>
      </c>
      <c r="J583" s="63">
        <f t="shared" si="41"/>
        <v>310</v>
      </c>
      <c r="K583" s="39">
        <f t="shared" si="42"/>
        <v>310</v>
      </c>
      <c r="L583" s="38">
        <v>0</v>
      </c>
    </row>
    <row r="584" spans="1:12" customFormat="1" x14ac:dyDescent="0.2">
      <c r="A584" s="299"/>
      <c r="B584" s="49" t="s">
        <v>67</v>
      </c>
      <c r="C584" s="58" t="s">
        <v>228</v>
      </c>
      <c r="D584" s="13" t="s">
        <v>352</v>
      </c>
      <c r="E584" s="306"/>
      <c r="F584" s="162">
        <v>1070</v>
      </c>
      <c r="G584" s="303"/>
      <c r="H584" s="162">
        <f t="shared" si="40"/>
        <v>0.28971962616822428</v>
      </c>
      <c r="I584" s="40">
        <v>0</v>
      </c>
      <c r="J584" s="63">
        <f t="shared" si="41"/>
        <v>310</v>
      </c>
      <c r="K584" s="39">
        <f t="shared" si="42"/>
        <v>310</v>
      </c>
      <c r="L584" s="38">
        <v>0</v>
      </c>
    </row>
    <row r="585" spans="1:12" customFormat="1" x14ac:dyDescent="0.2">
      <c r="A585" s="299"/>
      <c r="B585" s="49" t="s">
        <v>67</v>
      </c>
      <c r="C585" s="58" t="s">
        <v>228</v>
      </c>
      <c r="D585" s="13" t="s">
        <v>353</v>
      </c>
      <c r="E585" s="306"/>
      <c r="F585" s="162">
        <v>1145</v>
      </c>
      <c r="G585" s="303"/>
      <c r="H585" s="162">
        <f t="shared" si="40"/>
        <v>0.27074235807860264</v>
      </c>
      <c r="I585" s="40">
        <v>0</v>
      </c>
      <c r="J585" s="63">
        <f t="shared" si="41"/>
        <v>310</v>
      </c>
      <c r="K585" s="39">
        <f t="shared" si="42"/>
        <v>310</v>
      </c>
      <c r="L585" s="38">
        <v>0</v>
      </c>
    </row>
    <row r="586" spans="1:12" customFormat="1" x14ac:dyDescent="0.2">
      <c r="A586" s="299"/>
      <c r="B586" s="49" t="s">
        <v>67</v>
      </c>
      <c r="C586" s="58" t="s">
        <v>228</v>
      </c>
      <c r="D586" s="13" t="s">
        <v>354</v>
      </c>
      <c r="E586" s="306"/>
      <c r="F586" s="162">
        <v>816</v>
      </c>
      <c r="G586" s="303"/>
      <c r="H586" s="162">
        <f t="shared" si="40"/>
        <v>0.37990196078431371</v>
      </c>
      <c r="I586" s="40">
        <v>0</v>
      </c>
      <c r="J586" s="63">
        <f t="shared" si="41"/>
        <v>310</v>
      </c>
      <c r="K586" s="39">
        <f t="shared" si="42"/>
        <v>310</v>
      </c>
      <c r="L586" s="38">
        <v>0</v>
      </c>
    </row>
    <row r="587" spans="1:12" customFormat="1" x14ac:dyDescent="0.2">
      <c r="A587" s="299"/>
      <c r="B587" s="83" t="s">
        <v>67</v>
      </c>
      <c r="C587" s="84" t="s">
        <v>228</v>
      </c>
      <c r="D587" s="89" t="s">
        <v>355</v>
      </c>
      <c r="E587" s="306"/>
      <c r="F587" s="162">
        <v>1094</v>
      </c>
      <c r="G587" s="303"/>
      <c r="H587" s="162">
        <f>I587/F587</f>
        <v>0.82266910420475325</v>
      </c>
      <c r="I587" s="40">
        <v>900</v>
      </c>
      <c r="J587" s="63">
        <f t="shared" si="41"/>
        <v>0</v>
      </c>
      <c r="K587" s="39">
        <f t="shared" si="42"/>
        <v>900.00000000000011</v>
      </c>
      <c r="L587" s="38">
        <v>3</v>
      </c>
    </row>
    <row r="588" spans="1:12" customFormat="1" x14ac:dyDescent="0.2">
      <c r="A588" s="299"/>
      <c r="B588" s="83" t="s">
        <v>67</v>
      </c>
      <c r="C588" s="84" t="s">
        <v>228</v>
      </c>
      <c r="D588" s="89" t="s">
        <v>356</v>
      </c>
      <c r="E588" s="306"/>
      <c r="F588" s="162">
        <v>1658</v>
      </c>
      <c r="G588" s="303"/>
      <c r="H588" s="162">
        <f>I588/F588</f>
        <v>0.72376357056694818</v>
      </c>
      <c r="I588" s="40">
        <v>1200</v>
      </c>
      <c r="J588" s="63">
        <f t="shared" si="41"/>
        <v>0</v>
      </c>
      <c r="K588" s="39">
        <f t="shared" si="42"/>
        <v>1200</v>
      </c>
      <c r="L588" s="38">
        <v>4</v>
      </c>
    </row>
    <row r="589" spans="1:12" customFormat="1" x14ac:dyDescent="0.2">
      <c r="A589" s="299"/>
      <c r="B589" s="83" t="s">
        <v>67</v>
      </c>
      <c r="C589" s="84" t="s">
        <v>228</v>
      </c>
      <c r="D589" s="89" t="s">
        <v>357</v>
      </c>
      <c r="E589" s="307"/>
      <c r="F589" s="162">
        <v>1911</v>
      </c>
      <c r="G589" s="304"/>
      <c r="H589" s="162">
        <f>I589/F589</f>
        <v>0.68027210884353739</v>
      </c>
      <c r="I589" s="40">
        <v>1300</v>
      </c>
      <c r="J589" s="63">
        <f t="shared" si="41"/>
        <v>0</v>
      </c>
      <c r="K589" s="39">
        <f t="shared" si="42"/>
        <v>1300</v>
      </c>
      <c r="L589" s="38">
        <v>5</v>
      </c>
    </row>
    <row r="590" spans="1:12" customFormat="1" x14ac:dyDescent="0.2">
      <c r="A590" s="299"/>
      <c r="B590" s="49" t="s">
        <v>67</v>
      </c>
      <c r="C590" s="58" t="s">
        <v>229</v>
      </c>
      <c r="D590" s="13" t="s">
        <v>349</v>
      </c>
      <c r="E590" s="305">
        <f>28269.281571+662.372756</f>
        <v>28931.654327</v>
      </c>
      <c r="F590" s="162">
        <v>1018</v>
      </c>
      <c r="G590" s="302">
        <f>SUM(K590:K606)/E590</f>
        <v>0.30520204272451662</v>
      </c>
      <c r="H590" s="162">
        <f t="shared" ref="H590:H673" si="43">310/F590</f>
        <v>0.30451866404715128</v>
      </c>
      <c r="I590" s="40">
        <v>0</v>
      </c>
      <c r="J590" s="63">
        <f t="shared" si="41"/>
        <v>310</v>
      </c>
      <c r="K590" s="39">
        <f t="shared" si="42"/>
        <v>310</v>
      </c>
      <c r="L590" s="38">
        <v>0</v>
      </c>
    </row>
    <row r="591" spans="1:12" customFormat="1" x14ac:dyDescent="0.2">
      <c r="A591" s="299"/>
      <c r="B591" s="49" t="s">
        <v>67</v>
      </c>
      <c r="C591" s="58" t="s">
        <v>229</v>
      </c>
      <c r="D591" s="13" t="s">
        <v>350</v>
      </c>
      <c r="E591" s="306"/>
      <c r="F591" s="162">
        <v>1083</v>
      </c>
      <c r="G591" s="303"/>
      <c r="H591" s="162">
        <f t="shared" si="43"/>
        <v>0.28624192059095105</v>
      </c>
      <c r="I591" s="40">
        <v>0</v>
      </c>
      <c r="J591" s="63">
        <f t="shared" si="41"/>
        <v>310</v>
      </c>
      <c r="K591" s="39">
        <f t="shared" si="42"/>
        <v>310</v>
      </c>
      <c r="L591" s="38">
        <v>0</v>
      </c>
    </row>
    <row r="592" spans="1:12" customFormat="1" x14ac:dyDescent="0.2">
      <c r="A592" s="299"/>
      <c r="B592" s="49" t="s">
        <v>67</v>
      </c>
      <c r="C592" s="58" t="s">
        <v>229</v>
      </c>
      <c r="D592" s="13" t="s">
        <v>351</v>
      </c>
      <c r="E592" s="306"/>
      <c r="F592" s="162">
        <v>1010</v>
      </c>
      <c r="G592" s="303"/>
      <c r="H592" s="162">
        <f t="shared" si="43"/>
        <v>0.30693069306930693</v>
      </c>
      <c r="I592" s="40">
        <v>0</v>
      </c>
      <c r="J592" s="63">
        <f t="shared" si="41"/>
        <v>310</v>
      </c>
      <c r="K592" s="39">
        <f t="shared" si="42"/>
        <v>310</v>
      </c>
      <c r="L592" s="38">
        <v>0</v>
      </c>
    </row>
    <row r="593" spans="1:12" customFormat="1" x14ac:dyDescent="0.2">
      <c r="A593" s="299"/>
      <c r="B593" s="49" t="s">
        <v>67</v>
      </c>
      <c r="C593" s="58" t="s">
        <v>229</v>
      </c>
      <c r="D593" s="13" t="s">
        <v>352</v>
      </c>
      <c r="E593" s="306"/>
      <c r="F593" s="162">
        <v>1266</v>
      </c>
      <c r="G593" s="303"/>
      <c r="H593" s="162">
        <f t="shared" si="43"/>
        <v>0.24486571879936808</v>
      </c>
      <c r="I593" s="40">
        <v>0</v>
      </c>
      <c r="J593" s="63">
        <f t="shared" si="41"/>
        <v>310</v>
      </c>
      <c r="K593" s="39">
        <f t="shared" si="42"/>
        <v>310</v>
      </c>
      <c r="L593" s="38">
        <v>0</v>
      </c>
    </row>
    <row r="594" spans="1:12" customFormat="1" x14ac:dyDescent="0.2">
      <c r="A594" s="299"/>
      <c r="B594" s="49" t="s">
        <v>67</v>
      </c>
      <c r="C594" s="58" t="s">
        <v>229</v>
      </c>
      <c r="D594" s="13" t="s">
        <v>353</v>
      </c>
      <c r="E594" s="306"/>
      <c r="F594" s="162">
        <v>706</v>
      </c>
      <c r="G594" s="303"/>
      <c r="H594" s="162">
        <f t="shared" si="43"/>
        <v>0.43909348441926344</v>
      </c>
      <c r="I594" s="40">
        <v>0</v>
      </c>
      <c r="J594" s="63">
        <f t="shared" si="41"/>
        <v>310</v>
      </c>
      <c r="K594" s="39">
        <f t="shared" si="42"/>
        <v>310</v>
      </c>
      <c r="L594" s="38">
        <v>0</v>
      </c>
    </row>
    <row r="595" spans="1:12" customFormat="1" x14ac:dyDescent="0.2">
      <c r="A595" s="299"/>
      <c r="B595" s="49" t="s">
        <v>67</v>
      </c>
      <c r="C595" s="58" t="s">
        <v>229</v>
      </c>
      <c r="D595" s="13" t="s">
        <v>354</v>
      </c>
      <c r="E595" s="306"/>
      <c r="F595" s="162">
        <v>1129</v>
      </c>
      <c r="G595" s="303"/>
      <c r="H595" s="162">
        <f t="shared" si="43"/>
        <v>0.27457927369353408</v>
      </c>
      <c r="I595" s="40">
        <v>0</v>
      </c>
      <c r="J595" s="63">
        <f t="shared" si="41"/>
        <v>310</v>
      </c>
      <c r="K595" s="39">
        <f t="shared" si="42"/>
        <v>310</v>
      </c>
      <c r="L595" s="38">
        <v>0</v>
      </c>
    </row>
    <row r="596" spans="1:12" customFormat="1" x14ac:dyDescent="0.2">
      <c r="A596" s="299"/>
      <c r="B596" s="49" t="s">
        <v>67</v>
      </c>
      <c r="C596" s="58" t="s">
        <v>229</v>
      </c>
      <c r="D596" s="13" t="s">
        <v>355</v>
      </c>
      <c r="E596" s="306"/>
      <c r="F596" s="162">
        <v>660</v>
      </c>
      <c r="G596" s="303"/>
      <c r="H596" s="162">
        <f t="shared" si="43"/>
        <v>0.46969696969696972</v>
      </c>
      <c r="I596" s="40">
        <v>0</v>
      </c>
      <c r="J596" s="63">
        <f t="shared" si="41"/>
        <v>310</v>
      </c>
      <c r="K596" s="39">
        <f t="shared" si="42"/>
        <v>310</v>
      </c>
      <c r="L596" s="38">
        <v>0</v>
      </c>
    </row>
    <row r="597" spans="1:12" customFormat="1" x14ac:dyDescent="0.2">
      <c r="A597" s="299"/>
      <c r="B597" s="49" t="s">
        <v>67</v>
      </c>
      <c r="C597" s="58" t="s">
        <v>229</v>
      </c>
      <c r="D597" s="13" t="s">
        <v>356</v>
      </c>
      <c r="E597" s="306"/>
      <c r="F597" s="162">
        <v>745</v>
      </c>
      <c r="G597" s="303"/>
      <c r="H597" s="162">
        <f t="shared" si="43"/>
        <v>0.41610738255033558</v>
      </c>
      <c r="I597" s="40">
        <v>0</v>
      </c>
      <c r="J597" s="63">
        <f t="shared" si="41"/>
        <v>310</v>
      </c>
      <c r="K597" s="39">
        <f t="shared" si="42"/>
        <v>310</v>
      </c>
      <c r="L597" s="38">
        <v>0</v>
      </c>
    </row>
    <row r="598" spans="1:12" customFormat="1" x14ac:dyDescent="0.2">
      <c r="A598" s="299"/>
      <c r="B598" s="49" t="s">
        <v>67</v>
      </c>
      <c r="C598" s="58" t="s">
        <v>229</v>
      </c>
      <c r="D598" s="13" t="s">
        <v>357</v>
      </c>
      <c r="E598" s="306"/>
      <c r="F598" s="162">
        <v>874</v>
      </c>
      <c r="G598" s="303"/>
      <c r="H598" s="162">
        <f t="shared" si="43"/>
        <v>0.35469107551487417</v>
      </c>
      <c r="I598" s="40">
        <v>0</v>
      </c>
      <c r="J598" s="63">
        <f t="shared" si="41"/>
        <v>310</v>
      </c>
      <c r="K598" s="39">
        <f t="shared" si="42"/>
        <v>310</v>
      </c>
      <c r="L598" s="38">
        <v>0</v>
      </c>
    </row>
    <row r="599" spans="1:12" customFormat="1" x14ac:dyDescent="0.2">
      <c r="A599" s="299"/>
      <c r="B599" s="49" t="s">
        <v>67</v>
      </c>
      <c r="C599" s="58" t="s">
        <v>229</v>
      </c>
      <c r="D599" s="13" t="s">
        <v>358</v>
      </c>
      <c r="E599" s="306"/>
      <c r="F599" s="162">
        <v>833</v>
      </c>
      <c r="G599" s="303"/>
      <c r="H599" s="162">
        <f t="shared" si="43"/>
        <v>0.37214885954381755</v>
      </c>
      <c r="I599" s="40">
        <v>0</v>
      </c>
      <c r="J599" s="63">
        <f t="shared" si="41"/>
        <v>310</v>
      </c>
      <c r="K599" s="39">
        <f t="shared" si="42"/>
        <v>310</v>
      </c>
      <c r="L599" s="38">
        <v>0</v>
      </c>
    </row>
    <row r="600" spans="1:12" customFormat="1" x14ac:dyDescent="0.2">
      <c r="A600" s="299"/>
      <c r="B600" s="49" t="s">
        <v>67</v>
      </c>
      <c r="C600" s="58" t="s">
        <v>229</v>
      </c>
      <c r="D600" s="13" t="s">
        <v>359</v>
      </c>
      <c r="E600" s="306"/>
      <c r="F600" s="162">
        <v>585</v>
      </c>
      <c r="G600" s="303"/>
      <c r="H600" s="162">
        <f t="shared" si="43"/>
        <v>0.52991452991452992</v>
      </c>
      <c r="I600" s="40">
        <v>0</v>
      </c>
      <c r="J600" s="63">
        <f t="shared" si="41"/>
        <v>310</v>
      </c>
      <c r="K600" s="39">
        <f t="shared" si="42"/>
        <v>310</v>
      </c>
      <c r="L600" s="38">
        <v>0</v>
      </c>
    </row>
    <row r="601" spans="1:12" customFormat="1" x14ac:dyDescent="0.2">
      <c r="A601" s="299"/>
      <c r="B601" s="49" t="s">
        <v>67</v>
      </c>
      <c r="C601" s="58" t="s">
        <v>229</v>
      </c>
      <c r="D601" s="13" t="s">
        <v>360</v>
      </c>
      <c r="E601" s="306"/>
      <c r="F601" s="162">
        <v>923</v>
      </c>
      <c r="G601" s="303"/>
      <c r="H601" s="162">
        <f t="shared" si="43"/>
        <v>0.33586132177681471</v>
      </c>
      <c r="I601" s="40">
        <v>0</v>
      </c>
      <c r="J601" s="63">
        <f t="shared" si="41"/>
        <v>310</v>
      </c>
      <c r="K601" s="39">
        <f t="shared" si="42"/>
        <v>310</v>
      </c>
      <c r="L601" s="38">
        <v>0</v>
      </c>
    </row>
    <row r="602" spans="1:12" customFormat="1" x14ac:dyDescent="0.2">
      <c r="A602" s="299"/>
      <c r="B602" s="49" t="s">
        <v>67</v>
      </c>
      <c r="C602" s="58" t="s">
        <v>229</v>
      </c>
      <c r="D602" s="13" t="s">
        <v>361</v>
      </c>
      <c r="E602" s="306"/>
      <c r="F602" s="162">
        <v>1416</v>
      </c>
      <c r="G602" s="303"/>
      <c r="H602" s="162">
        <f t="shared" si="43"/>
        <v>0.21892655367231639</v>
      </c>
      <c r="I602" s="40">
        <v>0</v>
      </c>
      <c r="J602" s="63">
        <f t="shared" si="41"/>
        <v>310</v>
      </c>
      <c r="K602" s="39">
        <f t="shared" si="42"/>
        <v>310</v>
      </c>
      <c r="L602" s="38">
        <v>0</v>
      </c>
    </row>
    <row r="603" spans="1:12" customFormat="1" x14ac:dyDescent="0.2">
      <c r="A603" s="299"/>
      <c r="B603" s="83" t="s">
        <v>67</v>
      </c>
      <c r="C603" s="84" t="s">
        <v>229</v>
      </c>
      <c r="D603" s="89" t="s">
        <v>538</v>
      </c>
      <c r="E603" s="306"/>
      <c r="F603" s="162">
        <v>5420</v>
      </c>
      <c r="G603" s="303"/>
      <c r="H603" s="162">
        <f>I603/F603</f>
        <v>0.23985239852398524</v>
      </c>
      <c r="I603" s="40">
        <v>1300</v>
      </c>
      <c r="J603" s="63">
        <f t="shared" si="41"/>
        <v>0</v>
      </c>
      <c r="K603" s="39">
        <f t="shared" si="42"/>
        <v>1300</v>
      </c>
      <c r="L603" s="38">
        <v>6</v>
      </c>
    </row>
    <row r="604" spans="1:12" customFormat="1" x14ac:dyDescent="0.2">
      <c r="A604" s="299"/>
      <c r="B604" s="83" t="s">
        <v>67</v>
      </c>
      <c r="C604" s="84" t="s">
        <v>229</v>
      </c>
      <c r="D604" s="89" t="s">
        <v>539</v>
      </c>
      <c r="E604" s="306"/>
      <c r="F604" s="162">
        <v>647</v>
      </c>
      <c r="G604" s="303"/>
      <c r="H604" s="162">
        <f>I604/F604</f>
        <v>0.46367851622874806</v>
      </c>
      <c r="I604" s="40">
        <v>300</v>
      </c>
      <c r="J604" s="63">
        <f t="shared" si="41"/>
        <v>0</v>
      </c>
      <c r="K604" s="39">
        <f t="shared" si="42"/>
        <v>300</v>
      </c>
      <c r="L604" s="38">
        <v>2</v>
      </c>
    </row>
    <row r="605" spans="1:12" customFormat="1" x14ac:dyDescent="0.2">
      <c r="A605" s="299"/>
      <c r="B605" s="83" t="s">
        <v>67</v>
      </c>
      <c r="C605" s="84" t="s">
        <v>229</v>
      </c>
      <c r="D605" s="89" t="s">
        <v>540</v>
      </c>
      <c r="E605" s="306"/>
      <c r="F605" s="162">
        <v>7914</v>
      </c>
      <c r="G605" s="303"/>
      <c r="H605" s="162">
        <f>I605/F605</f>
        <v>0.30326004548900681</v>
      </c>
      <c r="I605" s="40">
        <v>2400</v>
      </c>
      <c r="J605" s="63">
        <f t="shared" si="41"/>
        <v>0</v>
      </c>
      <c r="K605" s="39">
        <f t="shared" si="42"/>
        <v>2400</v>
      </c>
      <c r="L605" s="38">
        <v>8</v>
      </c>
    </row>
    <row r="606" spans="1:12" customFormat="1" x14ac:dyDescent="0.2">
      <c r="A606" s="299"/>
      <c r="B606" s="83" t="s">
        <v>67</v>
      </c>
      <c r="C606" s="84" t="s">
        <v>229</v>
      </c>
      <c r="D606" s="89" t="s">
        <v>541</v>
      </c>
      <c r="E606" s="307"/>
      <c r="F606" s="162">
        <v>2349</v>
      </c>
      <c r="G606" s="304"/>
      <c r="H606" s="162">
        <f>I606/F606</f>
        <v>0.34057045551298426</v>
      </c>
      <c r="I606" s="40">
        <v>800</v>
      </c>
      <c r="J606" s="63">
        <f t="shared" si="41"/>
        <v>0</v>
      </c>
      <c r="K606" s="39">
        <f t="shared" si="42"/>
        <v>800</v>
      </c>
      <c r="L606" s="38">
        <v>4</v>
      </c>
    </row>
    <row r="607" spans="1:12" customFormat="1" x14ac:dyDescent="0.2">
      <c r="A607" s="299"/>
      <c r="B607" s="49" t="s">
        <v>67</v>
      </c>
      <c r="C607" s="58" t="s">
        <v>218</v>
      </c>
      <c r="D607" s="13" t="s">
        <v>362</v>
      </c>
      <c r="E607" s="305">
        <f>8668.716717+7481.630674</f>
        <v>16150.347390999999</v>
      </c>
      <c r="F607" s="162">
        <v>276</v>
      </c>
      <c r="G607" s="302">
        <f>SUM(K607:K614)/E607</f>
        <v>0.45509856983608216</v>
      </c>
      <c r="H607" s="162">
        <f t="shared" si="43"/>
        <v>1.1231884057971016</v>
      </c>
      <c r="I607" s="40">
        <v>0</v>
      </c>
      <c r="J607" s="63">
        <f t="shared" si="41"/>
        <v>310</v>
      </c>
      <c r="K607" s="39">
        <f t="shared" si="42"/>
        <v>310</v>
      </c>
      <c r="L607" s="38">
        <v>0</v>
      </c>
    </row>
    <row r="608" spans="1:12" customFormat="1" x14ac:dyDescent="0.2">
      <c r="A608" s="299"/>
      <c r="B608" s="49" t="s">
        <v>67</v>
      </c>
      <c r="C608" s="58" t="s">
        <v>218</v>
      </c>
      <c r="D608" s="13" t="s">
        <v>363</v>
      </c>
      <c r="E608" s="306"/>
      <c r="F608" s="162">
        <v>634</v>
      </c>
      <c r="G608" s="303"/>
      <c r="H608" s="162">
        <f t="shared" si="43"/>
        <v>0.48895899053627762</v>
      </c>
      <c r="I608" s="40">
        <v>0</v>
      </c>
      <c r="J608" s="63">
        <f t="shared" si="41"/>
        <v>310</v>
      </c>
      <c r="K608" s="39">
        <f t="shared" si="42"/>
        <v>310</v>
      </c>
      <c r="L608" s="38">
        <v>0</v>
      </c>
    </row>
    <row r="609" spans="1:12" customFormat="1" x14ac:dyDescent="0.2">
      <c r="A609" s="299"/>
      <c r="B609" s="49" t="s">
        <v>67</v>
      </c>
      <c r="C609" s="58" t="s">
        <v>218</v>
      </c>
      <c r="D609" s="13" t="s">
        <v>364</v>
      </c>
      <c r="E609" s="306"/>
      <c r="F609" s="162">
        <v>918</v>
      </c>
      <c r="G609" s="303"/>
      <c r="H609" s="162">
        <f t="shared" si="43"/>
        <v>0.33769063180827885</v>
      </c>
      <c r="I609" s="40">
        <v>0</v>
      </c>
      <c r="J609" s="63">
        <f t="shared" si="41"/>
        <v>310</v>
      </c>
      <c r="K609" s="39">
        <f t="shared" si="42"/>
        <v>310</v>
      </c>
      <c r="L609" s="38">
        <v>0</v>
      </c>
    </row>
    <row r="610" spans="1:12" customFormat="1" x14ac:dyDescent="0.2">
      <c r="A610" s="299"/>
      <c r="B610" s="49" t="s">
        <v>67</v>
      </c>
      <c r="C610" s="58" t="s">
        <v>218</v>
      </c>
      <c r="D610" s="13" t="s">
        <v>365</v>
      </c>
      <c r="E610" s="306"/>
      <c r="F610" s="162">
        <v>846</v>
      </c>
      <c r="G610" s="303"/>
      <c r="H610" s="162">
        <f t="shared" si="43"/>
        <v>0.3664302600472813</v>
      </c>
      <c r="I610" s="40">
        <v>0</v>
      </c>
      <c r="J610" s="63">
        <f t="shared" si="41"/>
        <v>310</v>
      </c>
      <c r="K610" s="39">
        <f t="shared" si="42"/>
        <v>310</v>
      </c>
      <c r="L610" s="38">
        <v>0</v>
      </c>
    </row>
    <row r="611" spans="1:12" customFormat="1" x14ac:dyDescent="0.2">
      <c r="A611" s="299"/>
      <c r="B611" s="49" t="s">
        <v>67</v>
      </c>
      <c r="C611" s="58" t="s">
        <v>218</v>
      </c>
      <c r="D611" s="13" t="s">
        <v>366</v>
      </c>
      <c r="E611" s="306"/>
      <c r="F611" s="162">
        <v>637</v>
      </c>
      <c r="G611" s="303"/>
      <c r="H611" s="162">
        <f t="shared" si="43"/>
        <v>0.48665620094191525</v>
      </c>
      <c r="I611" s="40">
        <v>0</v>
      </c>
      <c r="J611" s="63">
        <f t="shared" si="41"/>
        <v>310</v>
      </c>
      <c r="K611" s="39">
        <f t="shared" si="42"/>
        <v>310</v>
      </c>
      <c r="L611" s="38">
        <v>0</v>
      </c>
    </row>
    <row r="612" spans="1:12" customFormat="1" x14ac:dyDescent="0.2">
      <c r="A612" s="299"/>
      <c r="B612" s="83" t="s">
        <v>67</v>
      </c>
      <c r="C612" s="84" t="s">
        <v>218</v>
      </c>
      <c r="D612" s="89" t="s">
        <v>367</v>
      </c>
      <c r="E612" s="306"/>
      <c r="F612" s="162">
        <v>5992</v>
      </c>
      <c r="G612" s="303"/>
      <c r="H612" s="162">
        <f>I612/F612</f>
        <v>0.45060080106809081</v>
      </c>
      <c r="I612" s="40">
        <v>2700</v>
      </c>
      <c r="J612" s="63">
        <f t="shared" si="41"/>
        <v>0</v>
      </c>
      <c r="K612" s="39">
        <f t="shared" si="42"/>
        <v>2700</v>
      </c>
      <c r="L612" s="38">
        <v>11</v>
      </c>
    </row>
    <row r="613" spans="1:12" customFormat="1" x14ac:dyDescent="0.2">
      <c r="A613" s="299"/>
      <c r="B613" s="83" t="s">
        <v>67</v>
      </c>
      <c r="C613" s="84" t="s">
        <v>218</v>
      </c>
      <c r="D613" s="89" t="s">
        <v>368</v>
      </c>
      <c r="E613" s="306"/>
      <c r="F613" s="162">
        <v>1351</v>
      </c>
      <c r="G613" s="303"/>
      <c r="H613" s="162">
        <f>I613/F613</f>
        <v>0.44411547002220575</v>
      </c>
      <c r="I613" s="40">
        <v>600</v>
      </c>
      <c r="J613" s="63">
        <f t="shared" si="41"/>
        <v>0</v>
      </c>
      <c r="K613" s="39">
        <f t="shared" si="42"/>
        <v>600</v>
      </c>
      <c r="L613" s="38">
        <v>3</v>
      </c>
    </row>
    <row r="614" spans="1:12" customFormat="1" x14ac:dyDescent="0.2">
      <c r="A614" s="299"/>
      <c r="B614" s="83" t="s">
        <v>67</v>
      </c>
      <c r="C614" s="84" t="s">
        <v>218</v>
      </c>
      <c r="D614" s="89" t="s">
        <v>542</v>
      </c>
      <c r="E614" s="307"/>
      <c r="F614" s="162">
        <v>5309</v>
      </c>
      <c r="G614" s="304"/>
      <c r="H614" s="162">
        <f>I614/F614</f>
        <v>0.47089847428894333</v>
      </c>
      <c r="I614" s="40">
        <v>2500</v>
      </c>
      <c r="J614" s="63">
        <f t="shared" si="41"/>
        <v>0</v>
      </c>
      <c r="K614" s="39">
        <f t="shared" si="42"/>
        <v>2500</v>
      </c>
      <c r="L614" s="38">
        <v>10</v>
      </c>
    </row>
    <row r="615" spans="1:12" customFormat="1" x14ac:dyDescent="0.2">
      <c r="A615" s="299"/>
      <c r="B615" s="49" t="s">
        <v>67</v>
      </c>
      <c r="C615" s="58" t="s">
        <v>228</v>
      </c>
      <c r="D615" s="13" t="s">
        <v>362</v>
      </c>
      <c r="E615" s="305">
        <f>4853.777254+19031.683174</f>
        <v>23885.460428000002</v>
      </c>
      <c r="F615" s="162">
        <v>1177</v>
      </c>
      <c r="G615" s="302">
        <f>SUM(K615:K626)/E615</f>
        <v>0.399029360506996</v>
      </c>
      <c r="H615" s="162">
        <f t="shared" si="43"/>
        <v>0.26338147833474934</v>
      </c>
      <c r="I615" s="40">
        <v>0</v>
      </c>
      <c r="J615" s="63">
        <f t="shared" si="41"/>
        <v>310</v>
      </c>
      <c r="K615" s="39">
        <f t="shared" si="42"/>
        <v>310</v>
      </c>
      <c r="L615" s="38">
        <v>0</v>
      </c>
    </row>
    <row r="616" spans="1:12" customFormat="1" x14ac:dyDescent="0.2">
      <c r="A616" s="299"/>
      <c r="B616" s="49" t="s">
        <v>67</v>
      </c>
      <c r="C616" s="58" t="s">
        <v>228</v>
      </c>
      <c r="D616" s="13" t="s">
        <v>363</v>
      </c>
      <c r="E616" s="306"/>
      <c r="F616" s="162">
        <v>1183</v>
      </c>
      <c r="G616" s="303"/>
      <c r="H616" s="162">
        <f t="shared" si="43"/>
        <v>0.26204564666103125</v>
      </c>
      <c r="I616" s="40">
        <v>0</v>
      </c>
      <c r="J616" s="63">
        <f t="shared" si="41"/>
        <v>309.99999999999994</v>
      </c>
      <c r="K616" s="39">
        <f t="shared" si="42"/>
        <v>309.99999999999994</v>
      </c>
      <c r="L616" s="38">
        <v>0</v>
      </c>
    </row>
    <row r="617" spans="1:12" customFormat="1" x14ac:dyDescent="0.2">
      <c r="A617" s="299"/>
      <c r="B617" s="49" t="s">
        <v>67</v>
      </c>
      <c r="C617" s="58" t="s">
        <v>228</v>
      </c>
      <c r="D617" s="13" t="s">
        <v>364</v>
      </c>
      <c r="E617" s="306"/>
      <c r="F617" s="162">
        <v>939</v>
      </c>
      <c r="G617" s="303"/>
      <c r="H617" s="162">
        <f t="shared" si="43"/>
        <v>0.33013844515441959</v>
      </c>
      <c r="I617" s="40">
        <v>0</v>
      </c>
      <c r="J617" s="63">
        <f t="shared" si="41"/>
        <v>310</v>
      </c>
      <c r="K617" s="39">
        <f t="shared" si="42"/>
        <v>310</v>
      </c>
      <c r="L617" s="38">
        <v>0</v>
      </c>
    </row>
    <row r="618" spans="1:12" customFormat="1" x14ac:dyDescent="0.2">
      <c r="A618" s="299"/>
      <c r="B618" s="49" t="s">
        <v>67</v>
      </c>
      <c r="C618" s="58" t="s">
        <v>228</v>
      </c>
      <c r="D618" s="13" t="s">
        <v>365</v>
      </c>
      <c r="E618" s="306"/>
      <c r="F618" s="162">
        <v>1154</v>
      </c>
      <c r="G618" s="303"/>
      <c r="H618" s="162">
        <f t="shared" si="43"/>
        <v>0.268630849220104</v>
      </c>
      <c r="I618" s="40">
        <v>0</v>
      </c>
      <c r="J618" s="63">
        <f t="shared" si="41"/>
        <v>310</v>
      </c>
      <c r="K618" s="39">
        <f t="shared" si="42"/>
        <v>310</v>
      </c>
      <c r="L618" s="38">
        <v>0</v>
      </c>
    </row>
    <row r="619" spans="1:12" customFormat="1" x14ac:dyDescent="0.2">
      <c r="A619" s="299"/>
      <c r="B619" s="49" t="s">
        <v>67</v>
      </c>
      <c r="C619" s="58" t="s">
        <v>228</v>
      </c>
      <c r="D619" s="13" t="s">
        <v>366</v>
      </c>
      <c r="E619" s="306"/>
      <c r="F619" s="162">
        <v>823</v>
      </c>
      <c r="G619" s="303"/>
      <c r="H619" s="162">
        <f t="shared" si="43"/>
        <v>0.37667071688942894</v>
      </c>
      <c r="I619" s="40">
        <v>0</v>
      </c>
      <c r="J619" s="63">
        <f t="shared" si="41"/>
        <v>310</v>
      </c>
      <c r="K619" s="39">
        <f t="shared" si="42"/>
        <v>310</v>
      </c>
      <c r="L619" s="38">
        <v>0</v>
      </c>
    </row>
    <row r="620" spans="1:12" customFormat="1" x14ac:dyDescent="0.2">
      <c r="A620" s="299"/>
      <c r="B620" s="49" t="s">
        <v>67</v>
      </c>
      <c r="C620" s="58" t="s">
        <v>228</v>
      </c>
      <c r="D620" s="13" t="s">
        <v>367</v>
      </c>
      <c r="E620" s="306"/>
      <c r="F620" s="162">
        <v>655</v>
      </c>
      <c r="G620" s="303"/>
      <c r="H620" s="162">
        <f t="shared" si="43"/>
        <v>0.47328244274809161</v>
      </c>
      <c r="I620" s="40">
        <v>0</v>
      </c>
      <c r="J620" s="63">
        <f t="shared" si="41"/>
        <v>310</v>
      </c>
      <c r="K620" s="39">
        <f t="shared" si="42"/>
        <v>310</v>
      </c>
      <c r="L620" s="38">
        <v>0</v>
      </c>
    </row>
    <row r="621" spans="1:12" customFormat="1" x14ac:dyDescent="0.2">
      <c r="A621" s="299"/>
      <c r="B621" s="49" t="s">
        <v>67</v>
      </c>
      <c r="C621" s="58" t="s">
        <v>228</v>
      </c>
      <c r="D621" s="13" t="s">
        <v>368</v>
      </c>
      <c r="E621" s="306"/>
      <c r="F621" s="162">
        <v>1552</v>
      </c>
      <c r="G621" s="303"/>
      <c r="H621" s="162">
        <f t="shared" si="43"/>
        <v>0.19974226804123713</v>
      </c>
      <c r="I621" s="40">
        <v>0</v>
      </c>
      <c r="J621" s="63">
        <f t="shared" si="41"/>
        <v>310</v>
      </c>
      <c r="K621" s="39">
        <f t="shared" si="42"/>
        <v>310</v>
      </c>
      <c r="L621" s="38">
        <v>0</v>
      </c>
    </row>
    <row r="622" spans="1:12" customFormat="1" x14ac:dyDescent="0.2">
      <c r="A622" s="299"/>
      <c r="B622" s="83" t="s">
        <v>67</v>
      </c>
      <c r="C622" s="84" t="s">
        <v>228</v>
      </c>
      <c r="D622" s="89" t="s">
        <v>542</v>
      </c>
      <c r="E622" s="306"/>
      <c r="F622" s="162">
        <v>5713</v>
      </c>
      <c r="G622" s="303"/>
      <c r="H622" s="162">
        <f>I622/F622</f>
        <v>0.47260633642569577</v>
      </c>
      <c r="I622" s="40">
        <v>2700</v>
      </c>
      <c r="J622" s="63">
        <f t="shared" si="41"/>
        <v>0</v>
      </c>
      <c r="K622" s="39">
        <f t="shared" si="42"/>
        <v>2700</v>
      </c>
      <c r="L622" s="38">
        <v>9</v>
      </c>
    </row>
    <row r="623" spans="1:12" customFormat="1" x14ac:dyDescent="0.2">
      <c r="A623" s="299"/>
      <c r="B623" s="83" t="s">
        <v>67</v>
      </c>
      <c r="C623" s="84" t="s">
        <v>228</v>
      </c>
      <c r="D623" s="89" t="s">
        <v>543</v>
      </c>
      <c r="E623" s="306"/>
      <c r="F623" s="162">
        <v>2121</v>
      </c>
      <c r="G623" s="303"/>
      <c r="H623" s="162">
        <f>I623/F623</f>
        <v>0.51862329090051862</v>
      </c>
      <c r="I623" s="40">
        <v>1100</v>
      </c>
      <c r="J623" s="63">
        <f t="shared" si="41"/>
        <v>0</v>
      </c>
      <c r="K623" s="39">
        <f t="shared" si="42"/>
        <v>1100</v>
      </c>
      <c r="L623" s="38">
        <v>6</v>
      </c>
    </row>
    <row r="624" spans="1:12" customFormat="1" x14ac:dyDescent="0.2">
      <c r="A624" s="299"/>
      <c r="B624" s="83" t="s">
        <v>67</v>
      </c>
      <c r="C624" s="84" t="s">
        <v>228</v>
      </c>
      <c r="D624" s="89" t="s">
        <v>544</v>
      </c>
      <c r="E624" s="306"/>
      <c r="F624" s="162">
        <v>1091</v>
      </c>
      <c r="G624" s="303"/>
      <c r="H624" s="162">
        <f>I624/F624</f>
        <v>0.46837763519706693</v>
      </c>
      <c r="I624" s="40">
        <v>511</v>
      </c>
      <c r="J624" s="63">
        <f t="shared" si="41"/>
        <v>0</v>
      </c>
      <c r="K624" s="39">
        <f t="shared" si="42"/>
        <v>511</v>
      </c>
      <c r="L624" s="38">
        <v>3</v>
      </c>
    </row>
    <row r="625" spans="1:12" customFormat="1" x14ac:dyDescent="0.2">
      <c r="A625" s="299"/>
      <c r="B625" s="83" t="s">
        <v>67</v>
      </c>
      <c r="C625" s="84" t="s">
        <v>228</v>
      </c>
      <c r="D625" s="89" t="s">
        <v>545</v>
      </c>
      <c r="E625" s="306"/>
      <c r="F625" s="162">
        <v>811</v>
      </c>
      <c r="G625" s="303"/>
      <c r="H625" s="162">
        <f>I625/F625</f>
        <v>0.49321824907521578</v>
      </c>
      <c r="I625" s="40">
        <v>400</v>
      </c>
      <c r="J625" s="63">
        <f t="shared" si="41"/>
        <v>0</v>
      </c>
      <c r="K625" s="39">
        <f t="shared" si="42"/>
        <v>400</v>
      </c>
      <c r="L625" s="38">
        <v>2</v>
      </c>
    </row>
    <row r="626" spans="1:12" customFormat="1" x14ac:dyDescent="0.2">
      <c r="A626" s="299"/>
      <c r="B626" s="83" t="s">
        <v>67</v>
      </c>
      <c r="C626" s="84" t="s">
        <v>228</v>
      </c>
      <c r="D626" s="89" t="s">
        <v>546</v>
      </c>
      <c r="E626" s="307"/>
      <c r="F626" s="162">
        <v>5233</v>
      </c>
      <c r="G626" s="304"/>
      <c r="H626" s="162">
        <f>I626/F626</f>
        <v>0.50640168163577293</v>
      </c>
      <c r="I626" s="40">
        <v>2650</v>
      </c>
      <c r="J626" s="63">
        <f t="shared" si="41"/>
        <v>0</v>
      </c>
      <c r="K626" s="39">
        <f t="shared" si="42"/>
        <v>2649.9999999999995</v>
      </c>
      <c r="L626" s="38">
        <v>8</v>
      </c>
    </row>
    <row r="627" spans="1:12" customFormat="1" x14ac:dyDescent="0.2">
      <c r="A627" s="299"/>
      <c r="B627" s="49" t="s">
        <v>67</v>
      </c>
      <c r="C627" s="58" t="s">
        <v>229</v>
      </c>
      <c r="D627" s="13" t="s">
        <v>362</v>
      </c>
      <c r="E627" s="305">
        <v>12888.686512</v>
      </c>
      <c r="F627" s="162">
        <v>790</v>
      </c>
      <c r="G627" s="302">
        <f>SUM(K627:K633)/E627</f>
        <v>0.36854026945084872</v>
      </c>
      <c r="H627" s="162">
        <f t="shared" si="43"/>
        <v>0.39240506329113922</v>
      </c>
      <c r="I627" s="40">
        <v>0</v>
      </c>
      <c r="J627" s="63">
        <f t="shared" si="41"/>
        <v>310</v>
      </c>
      <c r="K627" s="39">
        <f t="shared" si="42"/>
        <v>310</v>
      </c>
      <c r="L627" s="38">
        <v>0</v>
      </c>
    </row>
    <row r="628" spans="1:12" customFormat="1" x14ac:dyDescent="0.2">
      <c r="A628" s="299"/>
      <c r="B628" s="49" t="s">
        <v>67</v>
      </c>
      <c r="C628" s="58" t="s">
        <v>229</v>
      </c>
      <c r="D628" s="13" t="s">
        <v>363</v>
      </c>
      <c r="E628" s="306"/>
      <c r="F628" s="162">
        <v>569</v>
      </c>
      <c r="G628" s="303"/>
      <c r="H628" s="162">
        <f t="shared" si="43"/>
        <v>0.54481546572934969</v>
      </c>
      <c r="I628" s="40">
        <v>0</v>
      </c>
      <c r="J628" s="63">
        <f t="shared" si="41"/>
        <v>310</v>
      </c>
      <c r="K628" s="39">
        <f t="shared" si="42"/>
        <v>310</v>
      </c>
      <c r="L628" s="38">
        <v>0</v>
      </c>
    </row>
    <row r="629" spans="1:12" customFormat="1" x14ac:dyDescent="0.2">
      <c r="A629" s="299"/>
      <c r="B629" s="49" t="s">
        <v>67</v>
      </c>
      <c r="C629" s="58" t="s">
        <v>229</v>
      </c>
      <c r="D629" s="13" t="s">
        <v>364</v>
      </c>
      <c r="E629" s="306"/>
      <c r="F629" s="162">
        <v>1195</v>
      </c>
      <c r="G629" s="303"/>
      <c r="H629" s="162">
        <f t="shared" si="43"/>
        <v>0.2594142259414226</v>
      </c>
      <c r="I629" s="40">
        <v>0</v>
      </c>
      <c r="J629" s="63">
        <f t="shared" si="41"/>
        <v>310</v>
      </c>
      <c r="K629" s="39">
        <f t="shared" si="42"/>
        <v>310</v>
      </c>
      <c r="L629" s="38">
        <v>0</v>
      </c>
    </row>
    <row r="630" spans="1:12" customFormat="1" x14ac:dyDescent="0.2">
      <c r="A630" s="299"/>
      <c r="B630" s="49" t="s">
        <v>67</v>
      </c>
      <c r="C630" s="58" t="s">
        <v>229</v>
      </c>
      <c r="D630" s="13" t="s">
        <v>365</v>
      </c>
      <c r="E630" s="306"/>
      <c r="F630" s="162">
        <v>763</v>
      </c>
      <c r="G630" s="303"/>
      <c r="H630" s="162">
        <f t="shared" si="43"/>
        <v>0.40629095674967236</v>
      </c>
      <c r="I630" s="40">
        <v>0</v>
      </c>
      <c r="J630" s="63">
        <f t="shared" si="41"/>
        <v>310</v>
      </c>
      <c r="K630" s="39">
        <f t="shared" si="42"/>
        <v>310</v>
      </c>
      <c r="L630" s="38">
        <v>0</v>
      </c>
    </row>
    <row r="631" spans="1:12" customFormat="1" x14ac:dyDescent="0.2">
      <c r="A631" s="299"/>
      <c r="B631" s="49" t="s">
        <v>67</v>
      </c>
      <c r="C631" s="58" t="s">
        <v>229</v>
      </c>
      <c r="D631" s="13" t="s">
        <v>366</v>
      </c>
      <c r="E631" s="306"/>
      <c r="F631" s="162">
        <v>766</v>
      </c>
      <c r="G631" s="303"/>
      <c r="H631" s="162">
        <f t="shared" si="43"/>
        <v>0.40469973890339428</v>
      </c>
      <c r="I631" s="40">
        <v>0</v>
      </c>
      <c r="J631" s="63">
        <f t="shared" si="41"/>
        <v>310</v>
      </c>
      <c r="K631" s="39">
        <f t="shared" si="42"/>
        <v>310</v>
      </c>
      <c r="L631" s="38">
        <v>0</v>
      </c>
    </row>
    <row r="632" spans="1:12" customFormat="1" x14ac:dyDescent="0.2">
      <c r="A632" s="299"/>
      <c r="B632" s="83" t="s">
        <v>67</v>
      </c>
      <c r="C632" s="84" t="s">
        <v>229</v>
      </c>
      <c r="D632" s="89" t="s">
        <v>367</v>
      </c>
      <c r="E632" s="306"/>
      <c r="F632" s="162">
        <v>3575</v>
      </c>
      <c r="G632" s="303"/>
      <c r="H632" s="162">
        <f>1200/F632</f>
        <v>0.33566433566433568</v>
      </c>
      <c r="I632" s="40">
        <v>1200</v>
      </c>
      <c r="J632" s="63">
        <f t="shared" si="41"/>
        <v>0</v>
      </c>
      <c r="K632" s="39">
        <f t="shared" si="42"/>
        <v>1200</v>
      </c>
      <c r="L632" s="38">
        <v>3</v>
      </c>
    </row>
    <row r="633" spans="1:12" customFormat="1" x14ac:dyDescent="0.2">
      <c r="A633" s="299"/>
      <c r="B633" s="83" t="s">
        <v>67</v>
      </c>
      <c r="C633" s="84" t="s">
        <v>229</v>
      </c>
      <c r="D633" s="89" t="s">
        <v>368</v>
      </c>
      <c r="E633" s="307"/>
      <c r="F633" s="162">
        <v>5151</v>
      </c>
      <c r="G633" s="304"/>
      <c r="H633" s="162">
        <f>2000/F633</f>
        <v>0.38827412152980006</v>
      </c>
      <c r="I633" s="40">
        <v>2000</v>
      </c>
      <c r="J633" s="63">
        <f t="shared" si="41"/>
        <v>0</v>
      </c>
      <c r="K633" s="39">
        <f t="shared" si="42"/>
        <v>2000.0000000000002</v>
      </c>
      <c r="L633" s="38">
        <v>5</v>
      </c>
    </row>
    <row r="634" spans="1:12" customFormat="1" x14ac:dyDescent="0.2">
      <c r="A634" s="299"/>
      <c r="B634" s="83" t="s">
        <v>67</v>
      </c>
      <c r="C634" s="84" t="s">
        <v>218</v>
      </c>
      <c r="D634" s="89" t="s">
        <v>547</v>
      </c>
      <c r="E634" s="305">
        <v>17833.757704</v>
      </c>
      <c r="F634" s="162">
        <v>6833</v>
      </c>
      <c r="G634" s="302">
        <f>SUM(K634:K635)/E634</f>
        <v>0.33083324882655923</v>
      </c>
      <c r="H634" s="162">
        <f>2500/F634</f>
        <v>0.36587150592711842</v>
      </c>
      <c r="I634" s="40">
        <v>2500</v>
      </c>
      <c r="J634" s="63">
        <f t="shared" si="41"/>
        <v>0</v>
      </c>
      <c r="K634" s="39">
        <f t="shared" si="42"/>
        <v>2500</v>
      </c>
      <c r="L634" s="38">
        <v>9</v>
      </c>
    </row>
    <row r="635" spans="1:12" customFormat="1" x14ac:dyDescent="0.2">
      <c r="A635" s="299"/>
      <c r="B635" s="83" t="s">
        <v>67</v>
      </c>
      <c r="C635" s="84" t="s">
        <v>218</v>
      </c>
      <c r="D635" s="89" t="s">
        <v>548</v>
      </c>
      <c r="E635" s="307"/>
      <c r="F635" s="162">
        <v>10786</v>
      </c>
      <c r="G635" s="304"/>
      <c r="H635" s="162">
        <f>I635/F635</f>
        <v>0.31522343778972745</v>
      </c>
      <c r="I635" s="40">
        <v>3400</v>
      </c>
      <c r="J635" s="63">
        <f t="shared" si="41"/>
        <v>0</v>
      </c>
      <c r="K635" s="39">
        <f t="shared" si="42"/>
        <v>3400</v>
      </c>
      <c r="L635" s="38">
        <v>11</v>
      </c>
    </row>
    <row r="636" spans="1:12" customFormat="1" x14ac:dyDescent="0.2">
      <c r="A636" s="299"/>
      <c r="B636" s="49" t="s">
        <v>67</v>
      </c>
      <c r="C636" s="58" t="s">
        <v>218</v>
      </c>
      <c r="D636" s="13" t="s">
        <v>369</v>
      </c>
      <c r="E636" s="305">
        <v>8026.9160959999999</v>
      </c>
      <c r="F636" s="162">
        <v>1360</v>
      </c>
      <c r="G636" s="302">
        <f>SUM(K636:K642)/E636</f>
        <v>0.28902756329496332</v>
      </c>
      <c r="H636" s="162">
        <f t="shared" si="43"/>
        <v>0.22794117647058823</v>
      </c>
      <c r="I636" s="40">
        <v>0</v>
      </c>
      <c r="J636" s="63">
        <f t="shared" si="41"/>
        <v>310</v>
      </c>
      <c r="K636" s="39">
        <f t="shared" si="42"/>
        <v>310</v>
      </c>
      <c r="L636" s="38">
        <v>0</v>
      </c>
    </row>
    <row r="637" spans="1:12" customFormat="1" x14ac:dyDescent="0.2">
      <c r="A637" s="299"/>
      <c r="B637" s="49" t="s">
        <v>67</v>
      </c>
      <c r="C637" s="58" t="s">
        <v>218</v>
      </c>
      <c r="D637" s="13" t="s">
        <v>370</v>
      </c>
      <c r="E637" s="306"/>
      <c r="F637" s="162">
        <v>1016</v>
      </c>
      <c r="G637" s="303"/>
      <c r="H637" s="162">
        <f t="shared" si="43"/>
        <v>0.30511811023622049</v>
      </c>
      <c r="I637" s="40">
        <v>0</v>
      </c>
      <c r="J637" s="63">
        <f t="shared" si="41"/>
        <v>310</v>
      </c>
      <c r="K637" s="39">
        <f t="shared" si="42"/>
        <v>310</v>
      </c>
      <c r="L637" s="38">
        <v>0</v>
      </c>
    </row>
    <row r="638" spans="1:12" customFormat="1" x14ac:dyDescent="0.2">
      <c r="A638" s="299"/>
      <c r="B638" s="49" t="s">
        <v>67</v>
      </c>
      <c r="C638" s="58" t="s">
        <v>218</v>
      </c>
      <c r="D638" s="13" t="s">
        <v>371</v>
      </c>
      <c r="E638" s="306"/>
      <c r="F638" s="162">
        <v>725</v>
      </c>
      <c r="G638" s="303"/>
      <c r="H638" s="162">
        <f t="shared" si="43"/>
        <v>0.42758620689655175</v>
      </c>
      <c r="I638" s="40">
        <v>0</v>
      </c>
      <c r="J638" s="63">
        <f t="shared" si="41"/>
        <v>310</v>
      </c>
      <c r="K638" s="39">
        <f t="shared" si="42"/>
        <v>310</v>
      </c>
      <c r="L638" s="38">
        <v>0</v>
      </c>
    </row>
    <row r="639" spans="1:12" customFormat="1" x14ac:dyDescent="0.2">
      <c r="A639" s="299"/>
      <c r="B639" s="49" t="s">
        <v>67</v>
      </c>
      <c r="C639" s="58" t="s">
        <v>218</v>
      </c>
      <c r="D639" s="13" t="s">
        <v>372</v>
      </c>
      <c r="E639" s="306"/>
      <c r="F639" s="162">
        <v>1573</v>
      </c>
      <c r="G639" s="303"/>
      <c r="H639" s="162">
        <f t="shared" si="43"/>
        <v>0.19707565162110616</v>
      </c>
      <c r="I639" s="40">
        <v>0</v>
      </c>
      <c r="J639" s="63">
        <f t="shared" ref="J639:J702" si="44">K639-I639</f>
        <v>310</v>
      </c>
      <c r="K639" s="39">
        <f t="shared" ref="K639:K702" si="45">F639*H639</f>
        <v>310</v>
      </c>
      <c r="L639" s="38">
        <v>0</v>
      </c>
    </row>
    <row r="640" spans="1:12" customFormat="1" x14ac:dyDescent="0.2">
      <c r="A640" s="299"/>
      <c r="B640" s="83" t="s">
        <v>67</v>
      </c>
      <c r="C640" s="84" t="s">
        <v>218</v>
      </c>
      <c r="D640" s="89" t="s">
        <v>755</v>
      </c>
      <c r="E640" s="306"/>
      <c r="F640" s="162">
        <v>1899</v>
      </c>
      <c r="G640" s="303"/>
      <c r="H640" s="162">
        <f>I640/F640</f>
        <v>0.28962611901000529</v>
      </c>
      <c r="I640" s="40">
        <v>550</v>
      </c>
      <c r="J640" s="63">
        <f t="shared" si="44"/>
        <v>0</v>
      </c>
      <c r="K640" s="39">
        <f t="shared" si="45"/>
        <v>550</v>
      </c>
      <c r="L640" s="38">
        <v>3</v>
      </c>
    </row>
    <row r="641" spans="1:12" customFormat="1" x14ac:dyDescent="0.2">
      <c r="A641" s="299"/>
      <c r="B641" s="83" t="s">
        <v>67</v>
      </c>
      <c r="C641" s="84" t="s">
        <v>218</v>
      </c>
      <c r="D641" s="89" t="s">
        <v>754</v>
      </c>
      <c r="E641" s="306"/>
      <c r="F641" s="162">
        <v>1018</v>
      </c>
      <c r="G641" s="303"/>
      <c r="H641" s="162">
        <f>I641/F641</f>
        <v>0.37328094302554027</v>
      </c>
      <c r="I641" s="40">
        <v>380</v>
      </c>
      <c r="J641" s="63">
        <f t="shared" si="44"/>
        <v>0</v>
      </c>
      <c r="K641" s="39">
        <f t="shared" si="45"/>
        <v>380</v>
      </c>
      <c r="L641" s="38">
        <v>2</v>
      </c>
    </row>
    <row r="642" spans="1:12" customFormat="1" x14ac:dyDescent="0.2">
      <c r="A642" s="299"/>
      <c r="B642" s="83" t="s">
        <v>67</v>
      </c>
      <c r="C642" s="84" t="s">
        <v>218</v>
      </c>
      <c r="D642" s="89" t="s">
        <v>756</v>
      </c>
      <c r="E642" s="307"/>
      <c r="F642" s="162">
        <v>304</v>
      </c>
      <c r="G642" s="304"/>
      <c r="H642" s="162">
        <f>I642/F642</f>
        <v>0.49342105263157893</v>
      </c>
      <c r="I642" s="40">
        <v>150</v>
      </c>
      <c r="J642" s="63">
        <f t="shared" si="44"/>
        <v>0</v>
      </c>
      <c r="K642" s="39">
        <f t="shared" si="45"/>
        <v>150</v>
      </c>
      <c r="L642" s="38">
        <v>1</v>
      </c>
    </row>
    <row r="643" spans="1:12" customFormat="1" x14ac:dyDescent="0.2">
      <c r="A643" s="299"/>
      <c r="B643" s="49" t="s">
        <v>67</v>
      </c>
      <c r="C643" s="58" t="s">
        <v>228</v>
      </c>
      <c r="D643" s="13" t="s">
        <v>369</v>
      </c>
      <c r="E643" s="305">
        <v>17661.772491</v>
      </c>
      <c r="F643" s="162">
        <v>452</v>
      </c>
      <c r="G643" s="302">
        <f>SUM(K643:K654)/E643</f>
        <v>0.47888738258348568</v>
      </c>
      <c r="H643" s="162">
        <f t="shared" si="43"/>
        <v>0.68584070796460173</v>
      </c>
      <c r="I643" s="40">
        <v>0</v>
      </c>
      <c r="J643" s="63">
        <f t="shared" si="44"/>
        <v>310</v>
      </c>
      <c r="K643" s="39">
        <f t="shared" si="45"/>
        <v>310</v>
      </c>
      <c r="L643" s="38">
        <v>0</v>
      </c>
    </row>
    <row r="644" spans="1:12" customFormat="1" x14ac:dyDescent="0.2">
      <c r="A644" s="299"/>
      <c r="B644" s="49" t="s">
        <v>67</v>
      </c>
      <c r="C644" s="58" t="s">
        <v>228</v>
      </c>
      <c r="D644" s="13" t="s">
        <v>370</v>
      </c>
      <c r="E644" s="306"/>
      <c r="F644" s="162">
        <v>565</v>
      </c>
      <c r="G644" s="303"/>
      <c r="H644" s="162">
        <f t="shared" si="43"/>
        <v>0.54867256637168138</v>
      </c>
      <c r="I644" s="40">
        <v>0</v>
      </c>
      <c r="J644" s="63">
        <f t="shared" si="44"/>
        <v>310</v>
      </c>
      <c r="K644" s="39">
        <f t="shared" si="45"/>
        <v>310</v>
      </c>
      <c r="L644" s="38">
        <v>0</v>
      </c>
    </row>
    <row r="645" spans="1:12" customFormat="1" x14ac:dyDescent="0.2">
      <c r="A645" s="299"/>
      <c r="B645" s="49" t="s">
        <v>67</v>
      </c>
      <c r="C645" s="58" t="s">
        <v>228</v>
      </c>
      <c r="D645" s="13" t="s">
        <v>371</v>
      </c>
      <c r="E645" s="306"/>
      <c r="F645" s="162">
        <v>1334</v>
      </c>
      <c r="G645" s="303"/>
      <c r="H645" s="162">
        <f t="shared" si="43"/>
        <v>0.23238380809595202</v>
      </c>
      <c r="I645" s="40">
        <v>0</v>
      </c>
      <c r="J645" s="63">
        <f t="shared" si="44"/>
        <v>310</v>
      </c>
      <c r="K645" s="39">
        <f t="shared" si="45"/>
        <v>310</v>
      </c>
      <c r="L645" s="38">
        <v>0</v>
      </c>
    </row>
    <row r="646" spans="1:12" customFormat="1" x14ac:dyDescent="0.2">
      <c r="A646" s="299"/>
      <c r="B646" s="49" t="s">
        <v>67</v>
      </c>
      <c r="C646" s="58" t="s">
        <v>228</v>
      </c>
      <c r="D646" s="13" t="s">
        <v>372</v>
      </c>
      <c r="E646" s="306"/>
      <c r="F646" s="162">
        <v>1294</v>
      </c>
      <c r="G646" s="303"/>
      <c r="H646" s="162">
        <f t="shared" si="43"/>
        <v>0.23956723338485317</v>
      </c>
      <c r="I646" s="40">
        <v>0</v>
      </c>
      <c r="J646" s="63">
        <f t="shared" si="44"/>
        <v>310</v>
      </c>
      <c r="K646" s="39">
        <f t="shared" si="45"/>
        <v>310</v>
      </c>
      <c r="L646" s="38">
        <v>0</v>
      </c>
    </row>
    <row r="647" spans="1:12" customFormat="1" x14ac:dyDescent="0.2">
      <c r="A647" s="299"/>
      <c r="B647" s="49" t="s">
        <v>67</v>
      </c>
      <c r="C647" s="58" t="s">
        <v>228</v>
      </c>
      <c r="D647" s="13" t="s">
        <v>373</v>
      </c>
      <c r="E647" s="306"/>
      <c r="F647" s="162">
        <v>915</v>
      </c>
      <c r="G647" s="303"/>
      <c r="H647" s="162">
        <f t="shared" si="43"/>
        <v>0.33879781420765026</v>
      </c>
      <c r="I647" s="40">
        <v>0</v>
      </c>
      <c r="J647" s="63">
        <f t="shared" si="44"/>
        <v>310</v>
      </c>
      <c r="K647" s="39">
        <f t="shared" si="45"/>
        <v>310</v>
      </c>
      <c r="L647" s="38">
        <v>0</v>
      </c>
    </row>
    <row r="648" spans="1:12" customFormat="1" x14ac:dyDescent="0.2">
      <c r="A648" s="299"/>
      <c r="B648" s="49" t="s">
        <v>67</v>
      </c>
      <c r="C648" s="58" t="s">
        <v>228</v>
      </c>
      <c r="D648" s="13" t="s">
        <v>374</v>
      </c>
      <c r="E648" s="306"/>
      <c r="F648" s="162">
        <v>713</v>
      </c>
      <c r="G648" s="303"/>
      <c r="H648" s="162">
        <f t="shared" si="43"/>
        <v>0.43478260869565216</v>
      </c>
      <c r="I648" s="40">
        <v>0</v>
      </c>
      <c r="J648" s="63">
        <f t="shared" si="44"/>
        <v>310</v>
      </c>
      <c r="K648" s="39">
        <f t="shared" si="45"/>
        <v>310</v>
      </c>
      <c r="L648" s="38">
        <v>0</v>
      </c>
    </row>
    <row r="649" spans="1:12" customFormat="1" x14ac:dyDescent="0.2">
      <c r="A649" s="299"/>
      <c r="B649" s="49" t="s">
        <v>67</v>
      </c>
      <c r="C649" s="58" t="s">
        <v>228</v>
      </c>
      <c r="D649" s="13" t="s">
        <v>375</v>
      </c>
      <c r="E649" s="306"/>
      <c r="F649" s="162">
        <v>777</v>
      </c>
      <c r="G649" s="303"/>
      <c r="H649" s="162">
        <f t="shared" si="43"/>
        <v>0.39897039897039899</v>
      </c>
      <c r="I649" s="40">
        <v>0</v>
      </c>
      <c r="J649" s="63">
        <f t="shared" si="44"/>
        <v>310</v>
      </c>
      <c r="K649" s="39">
        <f t="shared" si="45"/>
        <v>310</v>
      </c>
      <c r="L649" s="38">
        <v>0</v>
      </c>
    </row>
    <row r="650" spans="1:12" customFormat="1" x14ac:dyDescent="0.2">
      <c r="A650" s="299"/>
      <c r="B650" s="49" t="s">
        <v>67</v>
      </c>
      <c r="C650" s="58" t="s">
        <v>228</v>
      </c>
      <c r="D650" s="13" t="s">
        <v>376</v>
      </c>
      <c r="E650" s="306"/>
      <c r="F650" s="162">
        <v>730</v>
      </c>
      <c r="G650" s="303"/>
      <c r="H650" s="162">
        <f t="shared" si="43"/>
        <v>0.42465753424657532</v>
      </c>
      <c r="I650" s="40">
        <v>0</v>
      </c>
      <c r="J650" s="63">
        <f t="shared" si="44"/>
        <v>310</v>
      </c>
      <c r="K650" s="39">
        <f t="shared" si="45"/>
        <v>310</v>
      </c>
      <c r="L650" s="38">
        <v>0</v>
      </c>
    </row>
    <row r="651" spans="1:12" customFormat="1" x14ac:dyDescent="0.2">
      <c r="A651" s="299"/>
      <c r="B651" s="83" t="s">
        <v>67</v>
      </c>
      <c r="C651" s="84" t="s">
        <v>228</v>
      </c>
      <c r="D651" s="89" t="s">
        <v>757</v>
      </c>
      <c r="E651" s="306"/>
      <c r="F651" s="162">
        <v>1464</v>
      </c>
      <c r="G651" s="303"/>
      <c r="H651" s="162">
        <f>I651/F651</f>
        <v>0.73633879781420764</v>
      </c>
      <c r="I651" s="40">
        <v>1078</v>
      </c>
      <c r="J651" s="63">
        <f t="shared" si="44"/>
        <v>0</v>
      </c>
      <c r="K651" s="39">
        <f t="shared" si="45"/>
        <v>1078</v>
      </c>
      <c r="L651" s="38">
        <v>6</v>
      </c>
    </row>
    <row r="652" spans="1:12" customFormat="1" x14ac:dyDescent="0.2">
      <c r="A652" s="299"/>
      <c r="B652" s="83" t="s">
        <v>67</v>
      </c>
      <c r="C652" s="84" t="s">
        <v>228</v>
      </c>
      <c r="D652" s="89" t="s">
        <v>758</v>
      </c>
      <c r="E652" s="306"/>
      <c r="F652" s="162">
        <v>4495</v>
      </c>
      <c r="G652" s="303"/>
      <c r="H652" s="162">
        <f>I652/F652</f>
        <v>0.73414905450500556</v>
      </c>
      <c r="I652" s="40">
        <v>3300</v>
      </c>
      <c r="J652" s="63">
        <f t="shared" si="44"/>
        <v>0</v>
      </c>
      <c r="K652" s="39">
        <f t="shared" si="45"/>
        <v>3300</v>
      </c>
      <c r="L652" s="38">
        <v>10</v>
      </c>
    </row>
    <row r="653" spans="1:12" customFormat="1" x14ac:dyDescent="0.2">
      <c r="A653" s="299"/>
      <c r="B653" s="83" t="s">
        <v>67</v>
      </c>
      <c r="C653" s="84" t="s">
        <v>228</v>
      </c>
      <c r="D653" s="89" t="s">
        <v>759</v>
      </c>
      <c r="E653" s="306"/>
      <c r="F653" s="162">
        <v>970</v>
      </c>
      <c r="G653" s="303"/>
      <c r="H653" s="162">
        <f>I653/F653</f>
        <v>0.61855670103092786</v>
      </c>
      <c r="I653" s="40">
        <v>600</v>
      </c>
      <c r="J653" s="63">
        <f t="shared" si="44"/>
        <v>0</v>
      </c>
      <c r="K653" s="39">
        <f t="shared" si="45"/>
        <v>600</v>
      </c>
      <c r="L653" s="38">
        <v>3</v>
      </c>
    </row>
    <row r="654" spans="1:12" customFormat="1" x14ac:dyDescent="0.2">
      <c r="A654" s="299"/>
      <c r="B654" s="83" t="s">
        <v>67</v>
      </c>
      <c r="C654" s="84" t="s">
        <v>228</v>
      </c>
      <c r="D654" s="89" t="s">
        <v>760</v>
      </c>
      <c r="E654" s="307"/>
      <c r="F654" s="162">
        <v>1238</v>
      </c>
      <c r="G654" s="304"/>
      <c r="H654" s="162">
        <f>I654/F654</f>
        <v>0.80775444264943452</v>
      </c>
      <c r="I654" s="40">
        <v>1000</v>
      </c>
      <c r="J654" s="63">
        <f t="shared" si="44"/>
        <v>0</v>
      </c>
      <c r="K654" s="39">
        <f t="shared" si="45"/>
        <v>999.99999999999989</v>
      </c>
      <c r="L654" s="38">
        <v>5</v>
      </c>
    </row>
    <row r="655" spans="1:12" customFormat="1" x14ac:dyDescent="0.2">
      <c r="A655" s="299"/>
      <c r="B655" s="49" t="s">
        <v>67</v>
      </c>
      <c r="C655" s="58" t="s">
        <v>218</v>
      </c>
      <c r="D655" s="13" t="s">
        <v>377</v>
      </c>
      <c r="E655" s="305">
        <v>9217.8372610000006</v>
      </c>
      <c r="F655" s="162">
        <v>900</v>
      </c>
      <c r="G655" s="302">
        <f>SUM(K655:K658)/E655</f>
        <v>0.23975255121397612</v>
      </c>
      <c r="H655" s="162">
        <f t="shared" si="43"/>
        <v>0.34444444444444444</v>
      </c>
      <c r="I655" s="40">
        <v>0</v>
      </c>
      <c r="J655" s="63">
        <f t="shared" si="44"/>
        <v>310</v>
      </c>
      <c r="K655" s="39">
        <f t="shared" si="45"/>
        <v>310</v>
      </c>
      <c r="L655" s="38">
        <v>0</v>
      </c>
    </row>
    <row r="656" spans="1:12" customFormat="1" x14ac:dyDescent="0.2">
      <c r="A656" s="299"/>
      <c r="B656" s="83" t="s">
        <v>67</v>
      </c>
      <c r="C656" s="84" t="s">
        <v>218</v>
      </c>
      <c r="D656" s="89" t="s">
        <v>549</v>
      </c>
      <c r="E656" s="306"/>
      <c r="F656" s="162">
        <v>5371</v>
      </c>
      <c r="G656" s="303"/>
      <c r="H656" s="162">
        <f>I656/F656</f>
        <v>0.2048035747533048</v>
      </c>
      <c r="I656" s="40">
        <v>1100</v>
      </c>
      <c r="J656" s="63">
        <f t="shared" si="44"/>
        <v>0</v>
      </c>
      <c r="K656" s="39">
        <f t="shared" si="45"/>
        <v>1100</v>
      </c>
      <c r="L656" s="38">
        <v>6</v>
      </c>
    </row>
    <row r="657" spans="1:12" customFormat="1" x14ac:dyDescent="0.2">
      <c r="A657" s="299"/>
      <c r="B657" s="83" t="s">
        <v>67</v>
      </c>
      <c r="C657" s="84" t="s">
        <v>218</v>
      </c>
      <c r="D657" s="89" t="s">
        <v>550</v>
      </c>
      <c r="E657" s="306"/>
      <c r="F657" s="162">
        <v>980</v>
      </c>
      <c r="G657" s="303"/>
      <c r="H657" s="162">
        <f>I657/F657</f>
        <v>0.30612244897959184</v>
      </c>
      <c r="I657" s="40">
        <v>300</v>
      </c>
      <c r="J657" s="63">
        <f t="shared" si="44"/>
        <v>0</v>
      </c>
      <c r="K657" s="39">
        <f t="shared" si="45"/>
        <v>300</v>
      </c>
      <c r="L657" s="38">
        <v>2</v>
      </c>
    </row>
    <row r="658" spans="1:12" customFormat="1" x14ac:dyDescent="0.2">
      <c r="A658" s="299"/>
      <c r="B658" s="83" t="s">
        <v>67</v>
      </c>
      <c r="C658" s="84" t="s">
        <v>218</v>
      </c>
      <c r="D658" s="89" t="s">
        <v>551</v>
      </c>
      <c r="E658" s="307"/>
      <c r="F658" s="162">
        <v>1476</v>
      </c>
      <c r="G658" s="304"/>
      <c r="H658" s="162">
        <f>I658/F658</f>
        <v>0.33875338753387535</v>
      </c>
      <c r="I658" s="40">
        <v>500</v>
      </c>
      <c r="J658" s="63">
        <f t="shared" si="44"/>
        <v>0</v>
      </c>
      <c r="K658" s="39">
        <f t="shared" si="45"/>
        <v>500</v>
      </c>
      <c r="L658" s="38">
        <v>3</v>
      </c>
    </row>
    <row r="659" spans="1:12" customFormat="1" x14ac:dyDescent="0.2">
      <c r="A659" s="299"/>
      <c r="B659" s="49" t="s">
        <v>8</v>
      </c>
      <c r="C659" s="58" t="s">
        <v>218</v>
      </c>
      <c r="D659" s="13" t="s">
        <v>378</v>
      </c>
      <c r="E659" s="305">
        <v>11205.697918</v>
      </c>
      <c r="F659" s="162">
        <v>1628</v>
      </c>
      <c r="G659" s="302">
        <f>SUM(K659:K662)/E659</f>
        <v>0.28199939201680702</v>
      </c>
      <c r="H659" s="162">
        <f t="shared" si="43"/>
        <v>0.19041769041769041</v>
      </c>
      <c r="I659" s="40">
        <v>0</v>
      </c>
      <c r="J659" s="63">
        <f t="shared" si="44"/>
        <v>310</v>
      </c>
      <c r="K659" s="39">
        <f t="shared" si="45"/>
        <v>310</v>
      </c>
      <c r="L659" s="38">
        <v>0</v>
      </c>
    </row>
    <row r="660" spans="1:12" customFormat="1" x14ac:dyDescent="0.2">
      <c r="A660" s="299"/>
      <c r="B660" s="49" t="s">
        <v>8</v>
      </c>
      <c r="C660" s="58" t="s">
        <v>218</v>
      </c>
      <c r="D660" s="13" t="s">
        <v>379</v>
      </c>
      <c r="E660" s="306"/>
      <c r="F660" s="162">
        <v>2075</v>
      </c>
      <c r="G660" s="303"/>
      <c r="H660" s="162">
        <f t="shared" si="43"/>
        <v>0.14939759036144579</v>
      </c>
      <c r="I660" s="40">
        <v>0</v>
      </c>
      <c r="J660" s="63">
        <f t="shared" si="44"/>
        <v>310</v>
      </c>
      <c r="K660" s="39">
        <f t="shared" si="45"/>
        <v>310</v>
      </c>
      <c r="L660" s="38">
        <v>0</v>
      </c>
    </row>
    <row r="661" spans="1:12" customFormat="1" x14ac:dyDescent="0.2">
      <c r="A661" s="299"/>
      <c r="B661" s="83" t="s">
        <v>8</v>
      </c>
      <c r="C661" s="84" t="s">
        <v>218</v>
      </c>
      <c r="D661" s="89" t="s">
        <v>380</v>
      </c>
      <c r="E661" s="306"/>
      <c r="F661" s="162">
        <v>3957</v>
      </c>
      <c r="G661" s="303"/>
      <c r="H661" s="162">
        <f>I661/F661</f>
        <v>0.35380338640384129</v>
      </c>
      <c r="I661" s="40">
        <v>1400</v>
      </c>
      <c r="J661" s="63">
        <f t="shared" si="44"/>
        <v>0</v>
      </c>
      <c r="K661" s="39">
        <f t="shared" si="45"/>
        <v>1400</v>
      </c>
      <c r="L661" s="38">
        <v>3</v>
      </c>
    </row>
    <row r="662" spans="1:12" customFormat="1" x14ac:dyDescent="0.2">
      <c r="A662" s="299"/>
      <c r="B662" s="83" t="s">
        <v>8</v>
      </c>
      <c r="C662" s="84" t="s">
        <v>218</v>
      </c>
      <c r="D662" s="89" t="s">
        <v>381</v>
      </c>
      <c r="E662" s="307"/>
      <c r="F662" s="162">
        <v>3474</v>
      </c>
      <c r="G662" s="304"/>
      <c r="H662" s="162">
        <f>I662/F662</f>
        <v>0.32815198618307428</v>
      </c>
      <c r="I662" s="40">
        <v>1140</v>
      </c>
      <c r="J662" s="63">
        <f t="shared" si="44"/>
        <v>0</v>
      </c>
      <c r="K662" s="39">
        <f t="shared" si="45"/>
        <v>1140</v>
      </c>
      <c r="L662" s="38">
        <v>3</v>
      </c>
    </row>
    <row r="663" spans="1:12" customFormat="1" x14ac:dyDescent="0.2">
      <c r="A663" s="299"/>
      <c r="B663" s="49" t="s">
        <v>67</v>
      </c>
      <c r="C663" s="58" t="s">
        <v>228</v>
      </c>
      <c r="D663" s="13" t="s">
        <v>378</v>
      </c>
      <c r="E663" s="305">
        <v>7656.1007840000002</v>
      </c>
      <c r="F663" s="162">
        <v>1112</v>
      </c>
      <c r="G663" s="302">
        <f>SUM(K663:K667)/E663</f>
        <v>0.36310911760850195</v>
      </c>
      <c r="H663" s="162">
        <f t="shared" si="43"/>
        <v>0.27877697841726617</v>
      </c>
      <c r="I663" s="40">
        <v>0</v>
      </c>
      <c r="J663" s="63">
        <f t="shared" si="44"/>
        <v>310</v>
      </c>
      <c r="K663" s="39">
        <f t="shared" si="45"/>
        <v>310</v>
      </c>
      <c r="L663" s="38">
        <v>0</v>
      </c>
    </row>
    <row r="664" spans="1:12" customFormat="1" x14ac:dyDescent="0.2">
      <c r="A664" s="299"/>
      <c r="B664" s="49" t="s">
        <v>67</v>
      </c>
      <c r="C664" s="58" t="s">
        <v>228</v>
      </c>
      <c r="D664" s="13" t="s">
        <v>379</v>
      </c>
      <c r="E664" s="306"/>
      <c r="F664" s="162">
        <v>954</v>
      </c>
      <c r="G664" s="303"/>
      <c r="H664" s="162">
        <f t="shared" si="43"/>
        <v>0.3249475890985325</v>
      </c>
      <c r="I664" s="40">
        <v>0</v>
      </c>
      <c r="J664" s="63">
        <f t="shared" si="44"/>
        <v>310</v>
      </c>
      <c r="K664" s="39">
        <f t="shared" si="45"/>
        <v>310</v>
      </c>
      <c r="L664" s="38">
        <v>0</v>
      </c>
    </row>
    <row r="665" spans="1:12" customFormat="1" x14ac:dyDescent="0.2">
      <c r="A665" s="299"/>
      <c r="B665" s="49" t="s">
        <v>67</v>
      </c>
      <c r="C665" s="58" t="s">
        <v>228</v>
      </c>
      <c r="D665" s="13" t="s">
        <v>380</v>
      </c>
      <c r="E665" s="306"/>
      <c r="F665" s="162">
        <v>560</v>
      </c>
      <c r="G665" s="303"/>
      <c r="H665" s="162">
        <f t="shared" si="43"/>
        <v>0.5535714285714286</v>
      </c>
      <c r="I665" s="40">
        <v>0</v>
      </c>
      <c r="J665" s="63">
        <f t="shared" si="44"/>
        <v>310</v>
      </c>
      <c r="K665" s="39">
        <f t="shared" si="45"/>
        <v>310</v>
      </c>
      <c r="L665" s="38">
        <v>0</v>
      </c>
    </row>
    <row r="666" spans="1:12" customFormat="1" x14ac:dyDescent="0.2">
      <c r="A666" s="299"/>
      <c r="B666" s="83" t="s">
        <v>67</v>
      </c>
      <c r="C666" s="84" t="s">
        <v>228</v>
      </c>
      <c r="D666" s="89" t="s">
        <v>381</v>
      </c>
      <c r="E666" s="306"/>
      <c r="F666" s="162">
        <v>3743</v>
      </c>
      <c r="G666" s="303"/>
      <c r="H666" s="162">
        <f>I666/F666</f>
        <v>0.36067325674592571</v>
      </c>
      <c r="I666" s="40">
        <v>1350</v>
      </c>
      <c r="J666" s="63">
        <f t="shared" si="44"/>
        <v>0</v>
      </c>
      <c r="K666" s="39">
        <f t="shared" si="45"/>
        <v>1350</v>
      </c>
      <c r="L666" s="38">
        <v>3</v>
      </c>
    </row>
    <row r="667" spans="1:12" customFormat="1" x14ac:dyDescent="0.2">
      <c r="A667" s="299"/>
      <c r="B667" s="83" t="s">
        <v>67</v>
      </c>
      <c r="C667" s="84" t="s">
        <v>228</v>
      </c>
      <c r="D667" s="89" t="s">
        <v>382</v>
      </c>
      <c r="E667" s="307"/>
      <c r="F667" s="162">
        <v>1047</v>
      </c>
      <c r="G667" s="304"/>
      <c r="H667" s="162">
        <f>I667/F667</f>
        <v>0.47755491881566381</v>
      </c>
      <c r="I667" s="40">
        <v>500</v>
      </c>
      <c r="J667" s="63">
        <f t="shared" si="44"/>
        <v>0</v>
      </c>
      <c r="K667" s="39">
        <f t="shared" si="45"/>
        <v>500</v>
      </c>
      <c r="L667" s="38">
        <v>2</v>
      </c>
    </row>
    <row r="668" spans="1:12" customFormat="1" x14ac:dyDescent="0.2">
      <c r="A668" s="299"/>
      <c r="B668" s="49" t="s">
        <v>67</v>
      </c>
      <c r="C668" s="58" t="s">
        <v>229</v>
      </c>
      <c r="D668" s="13" t="s">
        <v>378</v>
      </c>
      <c r="E668" s="305">
        <v>22055</v>
      </c>
      <c r="F668" s="162">
        <v>1104</v>
      </c>
      <c r="G668" s="302">
        <f>SUM(K668:K678)/E668</f>
        <v>0.32804352754477445</v>
      </c>
      <c r="H668" s="162">
        <f t="shared" si="43"/>
        <v>0.28079710144927539</v>
      </c>
      <c r="I668" s="40">
        <v>0</v>
      </c>
      <c r="J668" s="63">
        <f t="shared" si="44"/>
        <v>310</v>
      </c>
      <c r="K668" s="39">
        <f t="shared" si="45"/>
        <v>310</v>
      </c>
      <c r="L668" s="38">
        <v>0</v>
      </c>
    </row>
    <row r="669" spans="1:12" customFormat="1" x14ac:dyDescent="0.2">
      <c r="A669" s="299"/>
      <c r="B669" s="49" t="s">
        <v>67</v>
      </c>
      <c r="C669" s="58" t="s">
        <v>229</v>
      </c>
      <c r="D669" s="13" t="s">
        <v>379</v>
      </c>
      <c r="E669" s="306"/>
      <c r="F669" s="162">
        <v>905</v>
      </c>
      <c r="G669" s="303"/>
      <c r="H669" s="162">
        <f t="shared" si="43"/>
        <v>0.34254143646408841</v>
      </c>
      <c r="I669" s="40">
        <v>0</v>
      </c>
      <c r="J669" s="63">
        <f t="shared" si="44"/>
        <v>310</v>
      </c>
      <c r="K669" s="39">
        <f t="shared" si="45"/>
        <v>310</v>
      </c>
      <c r="L669" s="38">
        <v>0</v>
      </c>
    </row>
    <row r="670" spans="1:12" customFormat="1" x14ac:dyDescent="0.2">
      <c r="A670" s="299"/>
      <c r="B670" s="49" t="s">
        <v>67</v>
      </c>
      <c r="C670" s="58" t="s">
        <v>229</v>
      </c>
      <c r="D670" s="13" t="s">
        <v>380</v>
      </c>
      <c r="E670" s="306"/>
      <c r="F670" s="162">
        <v>1178</v>
      </c>
      <c r="G670" s="303"/>
      <c r="H670" s="162">
        <f t="shared" si="43"/>
        <v>0.26315789473684209</v>
      </c>
      <c r="I670" s="40">
        <v>0</v>
      </c>
      <c r="J670" s="63">
        <f t="shared" si="44"/>
        <v>310</v>
      </c>
      <c r="K670" s="39">
        <f t="shared" si="45"/>
        <v>310</v>
      </c>
      <c r="L670" s="38">
        <v>0</v>
      </c>
    </row>
    <row r="671" spans="1:12" customFormat="1" x14ac:dyDescent="0.2">
      <c r="A671" s="299"/>
      <c r="B671" s="49" t="s">
        <v>67</v>
      </c>
      <c r="C671" s="58" t="s">
        <v>229</v>
      </c>
      <c r="D671" s="13" t="s">
        <v>381</v>
      </c>
      <c r="E671" s="306"/>
      <c r="F671" s="162">
        <v>908</v>
      </c>
      <c r="G671" s="303"/>
      <c r="H671" s="162">
        <f t="shared" si="43"/>
        <v>0.34140969162995594</v>
      </c>
      <c r="I671" s="40">
        <v>0</v>
      </c>
      <c r="J671" s="63">
        <f t="shared" si="44"/>
        <v>310</v>
      </c>
      <c r="K671" s="39">
        <f t="shared" si="45"/>
        <v>310</v>
      </c>
      <c r="L671" s="38">
        <v>0</v>
      </c>
    </row>
    <row r="672" spans="1:12" customFormat="1" x14ac:dyDescent="0.2">
      <c r="A672" s="299"/>
      <c r="B672" s="49" t="s">
        <v>67</v>
      </c>
      <c r="C672" s="58" t="s">
        <v>229</v>
      </c>
      <c r="D672" s="13" t="s">
        <v>382</v>
      </c>
      <c r="E672" s="306"/>
      <c r="F672" s="162">
        <v>2023</v>
      </c>
      <c r="G672" s="303"/>
      <c r="H672" s="162">
        <f t="shared" si="43"/>
        <v>0.15323776569451311</v>
      </c>
      <c r="I672" s="40">
        <v>0</v>
      </c>
      <c r="J672" s="63">
        <f t="shared" si="44"/>
        <v>310</v>
      </c>
      <c r="K672" s="39">
        <f t="shared" si="45"/>
        <v>310</v>
      </c>
      <c r="L672" s="38">
        <v>0</v>
      </c>
    </row>
    <row r="673" spans="1:12" customFormat="1" x14ac:dyDescent="0.2">
      <c r="A673" s="299"/>
      <c r="B673" s="49" t="s">
        <v>67</v>
      </c>
      <c r="C673" s="58" t="s">
        <v>229</v>
      </c>
      <c r="D673" s="13" t="s">
        <v>383</v>
      </c>
      <c r="E673" s="306"/>
      <c r="F673" s="162">
        <v>1907</v>
      </c>
      <c r="G673" s="303"/>
      <c r="H673" s="162">
        <f t="shared" si="43"/>
        <v>0.16255899318300995</v>
      </c>
      <c r="I673" s="40">
        <v>0</v>
      </c>
      <c r="J673" s="63">
        <f t="shared" si="44"/>
        <v>310</v>
      </c>
      <c r="K673" s="39">
        <f t="shared" si="45"/>
        <v>310</v>
      </c>
      <c r="L673" s="38">
        <v>0</v>
      </c>
    </row>
    <row r="674" spans="1:12" customFormat="1" x14ac:dyDescent="0.2">
      <c r="A674" s="299"/>
      <c r="B674" s="49" t="s">
        <v>67</v>
      </c>
      <c r="C674" s="58" t="s">
        <v>229</v>
      </c>
      <c r="D674" s="13" t="s">
        <v>384</v>
      </c>
      <c r="E674" s="306"/>
      <c r="F674" s="162">
        <v>1202</v>
      </c>
      <c r="G674" s="303"/>
      <c r="H674" s="162">
        <f t="shared" ref="H674:H763" si="46">310/F674</f>
        <v>0.25790349417637271</v>
      </c>
      <c r="I674" s="40">
        <v>0</v>
      </c>
      <c r="J674" s="63">
        <f t="shared" si="44"/>
        <v>310</v>
      </c>
      <c r="K674" s="39">
        <f t="shared" si="45"/>
        <v>310</v>
      </c>
      <c r="L674" s="38">
        <v>0</v>
      </c>
    </row>
    <row r="675" spans="1:12" customFormat="1" x14ac:dyDescent="0.2">
      <c r="A675" s="299"/>
      <c r="B675" s="49" t="s">
        <v>67</v>
      </c>
      <c r="C675" s="58" t="s">
        <v>229</v>
      </c>
      <c r="D675" s="13" t="s">
        <v>385</v>
      </c>
      <c r="E675" s="306"/>
      <c r="F675" s="162">
        <v>1118</v>
      </c>
      <c r="G675" s="303"/>
      <c r="H675" s="162">
        <f t="shared" si="46"/>
        <v>0.2772808586762075</v>
      </c>
      <c r="I675" s="40">
        <v>0</v>
      </c>
      <c r="J675" s="63">
        <f t="shared" si="44"/>
        <v>310</v>
      </c>
      <c r="K675" s="39">
        <f t="shared" si="45"/>
        <v>310</v>
      </c>
      <c r="L675" s="38">
        <v>0</v>
      </c>
    </row>
    <row r="676" spans="1:12" customFormat="1" x14ac:dyDescent="0.2">
      <c r="A676" s="299"/>
      <c r="B676" s="83" t="s">
        <v>67</v>
      </c>
      <c r="C676" s="84" t="s">
        <v>229</v>
      </c>
      <c r="D676" s="89" t="s">
        <v>386</v>
      </c>
      <c r="E676" s="306"/>
      <c r="F676" s="162">
        <v>6180</v>
      </c>
      <c r="G676" s="303"/>
      <c r="H676" s="162">
        <f>I676/F676</f>
        <v>0.51051779935275077</v>
      </c>
      <c r="I676" s="40">
        <v>3155</v>
      </c>
      <c r="J676" s="63">
        <f t="shared" si="44"/>
        <v>0</v>
      </c>
      <c r="K676" s="39">
        <f t="shared" si="45"/>
        <v>3154.9999999999995</v>
      </c>
      <c r="L676" s="38">
        <v>4</v>
      </c>
    </row>
    <row r="677" spans="1:12" customFormat="1" x14ac:dyDescent="0.2">
      <c r="A677" s="299"/>
      <c r="B677" s="83" t="s">
        <v>67</v>
      </c>
      <c r="C677" s="84" t="s">
        <v>229</v>
      </c>
      <c r="D677" s="89" t="s">
        <v>387</v>
      </c>
      <c r="E677" s="306"/>
      <c r="F677" s="162">
        <v>870</v>
      </c>
      <c r="G677" s="303"/>
      <c r="H677" s="162">
        <f>I677/F677</f>
        <v>0.45977011494252873</v>
      </c>
      <c r="I677" s="40">
        <v>400</v>
      </c>
      <c r="J677" s="63">
        <f t="shared" si="44"/>
        <v>0</v>
      </c>
      <c r="K677" s="39">
        <f t="shared" si="45"/>
        <v>400</v>
      </c>
      <c r="L677" s="38">
        <v>2</v>
      </c>
    </row>
    <row r="678" spans="1:12" customFormat="1" x14ac:dyDescent="0.2">
      <c r="A678" s="299"/>
      <c r="B678" s="83" t="s">
        <v>67</v>
      </c>
      <c r="C678" s="84" t="s">
        <v>229</v>
      </c>
      <c r="D678" s="89" t="s">
        <v>388</v>
      </c>
      <c r="E678" s="307"/>
      <c r="F678" s="162">
        <v>2337</v>
      </c>
      <c r="G678" s="304"/>
      <c r="H678" s="162">
        <f>I678/F678</f>
        <v>0.51347881899871628</v>
      </c>
      <c r="I678" s="40">
        <v>1200</v>
      </c>
      <c r="J678" s="63">
        <f t="shared" si="44"/>
        <v>0</v>
      </c>
      <c r="K678" s="39">
        <f t="shared" si="45"/>
        <v>1200</v>
      </c>
      <c r="L678" s="38">
        <v>3</v>
      </c>
    </row>
    <row r="679" spans="1:12" customFormat="1" x14ac:dyDescent="0.2">
      <c r="A679" s="299"/>
      <c r="B679" s="83" t="s">
        <v>67</v>
      </c>
      <c r="C679" s="84" t="s">
        <v>232</v>
      </c>
      <c r="D679" s="89" t="s">
        <v>378</v>
      </c>
      <c r="E679" s="305">
        <v>20823.645445999999</v>
      </c>
      <c r="F679" s="162">
        <v>1306</v>
      </c>
      <c r="G679" s="302">
        <f>SUM(K679:K695)/E679</f>
        <v>0.33855743550196826</v>
      </c>
      <c r="H679" s="162">
        <f t="shared" si="46"/>
        <v>0.23736600306278713</v>
      </c>
      <c r="I679" s="40">
        <v>0</v>
      </c>
      <c r="J679" s="63">
        <f t="shared" si="44"/>
        <v>310</v>
      </c>
      <c r="K679" s="39">
        <f t="shared" si="45"/>
        <v>310</v>
      </c>
      <c r="L679" s="38">
        <v>0</v>
      </c>
    </row>
    <row r="680" spans="1:12" customFormat="1" x14ac:dyDescent="0.2">
      <c r="A680" s="299"/>
      <c r="B680" s="83" t="s">
        <v>67</v>
      </c>
      <c r="C680" s="84" t="s">
        <v>232</v>
      </c>
      <c r="D680" s="89" t="s">
        <v>379</v>
      </c>
      <c r="E680" s="306"/>
      <c r="F680" s="162">
        <v>2106</v>
      </c>
      <c r="G680" s="303"/>
      <c r="H680" s="162">
        <f t="shared" si="46"/>
        <v>0.14719848053181386</v>
      </c>
      <c r="I680" s="40">
        <v>0</v>
      </c>
      <c r="J680" s="63">
        <f t="shared" si="44"/>
        <v>310</v>
      </c>
      <c r="K680" s="39">
        <f t="shared" si="45"/>
        <v>310</v>
      </c>
      <c r="L680" s="38">
        <v>0</v>
      </c>
    </row>
    <row r="681" spans="1:12" customFormat="1" x14ac:dyDescent="0.2">
      <c r="A681" s="299"/>
      <c r="B681" s="49" t="s">
        <v>67</v>
      </c>
      <c r="C681" s="58" t="s">
        <v>232</v>
      </c>
      <c r="D681" s="13" t="s">
        <v>380</v>
      </c>
      <c r="E681" s="306"/>
      <c r="F681" s="162">
        <v>1661</v>
      </c>
      <c r="G681" s="303"/>
      <c r="H681" s="162">
        <f t="shared" si="46"/>
        <v>0.18663455749548466</v>
      </c>
      <c r="I681" s="40">
        <v>0</v>
      </c>
      <c r="J681" s="63">
        <f t="shared" si="44"/>
        <v>310</v>
      </c>
      <c r="K681" s="39">
        <f t="shared" si="45"/>
        <v>310</v>
      </c>
      <c r="L681" s="38">
        <v>0</v>
      </c>
    </row>
    <row r="682" spans="1:12" customFormat="1" x14ac:dyDescent="0.2">
      <c r="A682" s="299"/>
      <c r="B682" s="49" t="s">
        <v>67</v>
      </c>
      <c r="C682" s="58" t="s">
        <v>232</v>
      </c>
      <c r="D682" s="13" t="s">
        <v>381</v>
      </c>
      <c r="E682" s="306"/>
      <c r="F682" s="162">
        <v>533</v>
      </c>
      <c r="G682" s="303"/>
      <c r="H682" s="162">
        <f t="shared" si="46"/>
        <v>0.58161350844277671</v>
      </c>
      <c r="I682" s="40">
        <v>0</v>
      </c>
      <c r="J682" s="63">
        <f t="shared" si="44"/>
        <v>310</v>
      </c>
      <c r="K682" s="39">
        <f t="shared" si="45"/>
        <v>310</v>
      </c>
      <c r="L682" s="38">
        <v>0</v>
      </c>
    </row>
    <row r="683" spans="1:12" customFormat="1" x14ac:dyDescent="0.2">
      <c r="A683" s="299"/>
      <c r="B683" s="49" t="s">
        <v>67</v>
      </c>
      <c r="C683" s="58" t="s">
        <v>232</v>
      </c>
      <c r="D683" s="13" t="s">
        <v>382</v>
      </c>
      <c r="E683" s="306"/>
      <c r="F683" s="162">
        <v>1359</v>
      </c>
      <c r="G683" s="303"/>
      <c r="H683" s="162">
        <f t="shared" si="46"/>
        <v>0.22810890360559236</v>
      </c>
      <c r="I683" s="40">
        <v>0</v>
      </c>
      <c r="J683" s="63">
        <f t="shared" si="44"/>
        <v>310</v>
      </c>
      <c r="K683" s="39">
        <f t="shared" si="45"/>
        <v>310</v>
      </c>
      <c r="L683" s="38">
        <v>0</v>
      </c>
    </row>
    <row r="684" spans="1:12" customFormat="1" x14ac:dyDescent="0.2">
      <c r="A684" s="299"/>
      <c r="B684" s="49" t="s">
        <v>67</v>
      </c>
      <c r="C684" s="58" t="s">
        <v>232</v>
      </c>
      <c r="D684" s="13" t="s">
        <v>383</v>
      </c>
      <c r="E684" s="306"/>
      <c r="F684" s="162">
        <v>1076</v>
      </c>
      <c r="G684" s="303"/>
      <c r="H684" s="162">
        <f t="shared" si="46"/>
        <v>0.28810408921933084</v>
      </c>
      <c r="I684" s="40">
        <v>0</v>
      </c>
      <c r="J684" s="63">
        <f t="shared" si="44"/>
        <v>310</v>
      </c>
      <c r="K684" s="39">
        <f t="shared" si="45"/>
        <v>310</v>
      </c>
      <c r="L684" s="38">
        <v>0</v>
      </c>
    </row>
    <row r="685" spans="1:12" customFormat="1" x14ac:dyDescent="0.2">
      <c r="A685" s="299"/>
      <c r="B685" s="49" t="s">
        <v>67</v>
      </c>
      <c r="C685" s="58" t="s">
        <v>232</v>
      </c>
      <c r="D685" s="13" t="s">
        <v>384</v>
      </c>
      <c r="E685" s="306"/>
      <c r="F685" s="162">
        <v>783</v>
      </c>
      <c r="G685" s="303"/>
      <c r="H685" s="162">
        <f t="shared" si="46"/>
        <v>0.39591315453384418</v>
      </c>
      <c r="I685" s="40">
        <v>0</v>
      </c>
      <c r="J685" s="63">
        <f t="shared" si="44"/>
        <v>310</v>
      </c>
      <c r="K685" s="39">
        <f t="shared" si="45"/>
        <v>310</v>
      </c>
      <c r="L685" s="38">
        <v>0</v>
      </c>
    </row>
    <row r="686" spans="1:12" customFormat="1" x14ac:dyDescent="0.2">
      <c r="A686" s="299"/>
      <c r="B686" s="49" t="s">
        <v>67</v>
      </c>
      <c r="C686" s="58" t="s">
        <v>232</v>
      </c>
      <c r="D686" s="13" t="s">
        <v>385</v>
      </c>
      <c r="E686" s="306"/>
      <c r="F686" s="162">
        <v>780</v>
      </c>
      <c r="G686" s="303"/>
      <c r="H686" s="162">
        <f t="shared" si="46"/>
        <v>0.39743589743589741</v>
      </c>
      <c r="I686" s="40">
        <v>0</v>
      </c>
      <c r="J686" s="63">
        <f t="shared" si="44"/>
        <v>310</v>
      </c>
      <c r="K686" s="39">
        <f t="shared" si="45"/>
        <v>310</v>
      </c>
      <c r="L686" s="38">
        <v>0</v>
      </c>
    </row>
    <row r="687" spans="1:12" customFormat="1" x14ac:dyDescent="0.2">
      <c r="A687" s="299"/>
      <c r="B687" s="49" t="s">
        <v>67</v>
      </c>
      <c r="C687" s="58" t="s">
        <v>232</v>
      </c>
      <c r="D687" s="13" t="s">
        <v>386</v>
      </c>
      <c r="E687" s="306"/>
      <c r="F687" s="162">
        <v>759</v>
      </c>
      <c r="G687" s="303"/>
      <c r="H687" s="162">
        <f t="shared" si="46"/>
        <v>0.40843214756258234</v>
      </c>
      <c r="I687" s="40">
        <v>0</v>
      </c>
      <c r="J687" s="63">
        <f t="shared" si="44"/>
        <v>310</v>
      </c>
      <c r="K687" s="39">
        <f t="shared" si="45"/>
        <v>310</v>
      </c>
      <c r="L687" s="38">
        <v>0</v>
      </c>
    </row>
    <row r="688" spans="1:12" customFormat="1" x14ac:dyDescent="0.2">
      <c r="A688" s="299"/>
      <c r="B688" s="49" t="s">
        <v>67</v>
      </c>
      <c r="C688" s="58" t="s">
        <v>232</v>
      </c>
      <c r="D688" s="13" t="s">
        <v>387</v>
      </c>
      <c r="E688" s="306"/>
      <c r="F688" s="162">
        <v>779</v>
      </c>
      <c r="G688" s="303"/>
      <c r="H688" s="162">
        <f t="shared" si="46"/>
        <v>0.39794608472400511</v>
      </c>
      <c r="I688" s="40">
        <v>0</v>
      </c>
      <c r="J688" s="63">
        <f t="shared" si="44"/>
        <v>310</v>
      </c>
      <c r="K688" s="39">
        <f t="shared" si="45"/>
        <v>310</v>
      </c>
      <c r="L688" s="38">
        <v>0</v>
      </c>
    </row>
    <row r="689" spans="1:12" customFormat="1" x14ac:dyDescent="0.2">
      <c r="A689" s="299"/>
      <c r="B689" s="49" t="s">
        <v>67</v>
      </c>
      <c r="C689" s="58" t="s">
        <v>232</v>
      </c>
      <c r="D689" s="13" t="s">
        <v>388</v>
      </c>
      <c r="E689" s="306"/>
      <c r="F689" s="162">
        <v>932</v>
      </c>
      <c r="G689" s="303"/>
      <c r="H689" s="162">
        <f t="shared" si="46"/>
        <v>0.33261802575107297</v>
      </c>
      <c r="I689" s="40">
        <v>0</v>
      </c>
      <c r="J689" s="63">
        <f t="shared" si="44"/>
        <v>310</v>
      </c>
      <c r="K689" s="39">
        <f t="shared" si="45"/>
        <v>310</v>
      </c>
      <c r="L689" s="38">
        <v>0</v>
      </c>
    </row>
    <row r="690" spans="1:12" customFormat="1" x14ac:dyDescent="0.2">
      <c r="A690" s="299"/>
      <c r="B690" s="49" t="s">
        <v>8</v>
      </c>
      <c r="C690" s="58" t="s">
        <v>232</v>
      </c>
      <c r="D690" s="13" t="s">
        <v>389</v>
      </c>
      <c r="E690" s="306"/>
      <c r="F690" s="162">
        <v>920</v>
      </c>
      <c r="G690" s="303"/>
      <c r="H690" s="162">
        <f t="shared" si="46"/>
        <v>0.33695652173913043</v>
      </c>
      <c r="I690" s="40">
        <v>0</v>
      </c>
      <c r="J690" s="63">
        <f t="shared" si="44"/>
        <v>310</v>
      </c>
      <c r="K690" s="39">
        <f t="shared" si="45"/>
        <v>310</v>
      </c>
      <c r="L690" s="38">
        <v>0</v>
      </c>
    </row>
    <row r="691" spans="1:12" customFormat="1" x14ac:dyDescent="0.2">
      <c r="A691" s="299"/>
      <c r="B691" s="49" t="s">
        <v>8</v>
      </c>
      <c r="C691" s="58" t="s">
        <v>232</v>
      </c>
      <c r="D691" s="13" t="s">
        <v>390</v>
      </c>
      <c r="E691" s="306"/>
      <c r="F691" s="162">
        <v>975</v>
      </c>
      <c r="G691" s="303"/>
      <c r="H691" s="162">
        <f t="shared" si="46"/>
        <v>0.31794871794871793</v>
      </c>
      <c r="I691" s="40">
        <v>0</v>
      </c>
      <c r="J691" s="63">
        <f t="shared" si="44"/>
        <v>310</v>
      </c>
      <c r="K691" s="39">
        <f t="shared" si="45"/>
        <v>310</v>
      </c>
      <c r="L691" s="38">
        <v>0</v>
      </c>
    </row>
    <row r="692" spans="1:12" customFormat="1" x14ac:dyDescent="0.2">
      <c r="A692" s="299"/>
      <c r="B692" s="83" t="s">
        <v>67</v>
      </c>
      <c r="C692" s="84" t="s">
        <v>232</v>
      </c>
      <c r="D692" s="89" t="s">
        <v>391</v>
      </c>
      <c r="E692" s="306"/>
      <c r="F692" s="162">
        <v>852</v>
      </c>
      <c r="G692" s="303"/>
      <c r="H692" s="162">
        <f>310/F692</f>
        <v>0.36384976525821594</v>
      </c>
      <c r="I692" s="40">
        <v>0</v>
      </c>
      <c r="J692" s="63">
        <f t="shared" si="44"/>
        <v>310</v>
      </c>
      <c r="K692" s="39">
        <f t="shared" si="45"/>
        <v>310</v>
      </c>
      <c r="L692" s="38">
        <v>0</v>
      </c>
    </row>
    <row r="693" spans="1:12" customFormat="1" x14ac:dyDescent="0.2">
      <c r="A693" s="299"/>
      <c r="B693" s="83" t="s">
        <v>67</v>
      </c>
      <c r="C693" s="84" t="s">
        <v>232</v>
      </c>
      <c r="D693" s="89" t="s">
        <v>396</v>
      </c>
      <c r="E693" s="306"/>
      <c r="F693" s="162">
        <v>1179</v>
      </c>
      <c r="G693" s="303"/>
      <c r="H693" s="162">
        <f>I693/F693</f>
        <v>0.68702290076335881</v>
      </c>
      <c r="I693" s="40">
        <v>810</v>
      </c>
      <c r="J693" s="63">
        <f t="shared" si="44"/>
        <v>0</v>
      </c>
      <c r="K693" s="39">
        <f t="shared" si="45"/>
        <v>810</v>
      </c>
      <c r="L693" s="38">
        <v>2</v>
      </c>
    </row>
    <row r="694" spans="1:12" customFormat="1" x14ac:dyDescent="0.2">
      <c r="A694" s="299"/>
      <c r="B694" s="83" t="s">
        <v>67</v>
      </c>
      <c r="C694" s="84" t="s">
        <v>232</v>
      </c>
      <c r="D694" s="89" t="s">
        <v>397</v>
      </c>
      <c r="E694" s="306"/>
      <c r="F694" s="162">
        <v>1602</v>
      </c>
      <c r="G694" s="303"/>
      <c r="H694" s="162">
        <f>I694/F694</f>
        <v>0.74906367041198507</v>
      </c>
      <c r="I694" s="40">
        <v>1200</v>
      </c>
      <c r="J694" s="63">
        <f t="shared" si="44"/>
        <v>0</v>
      </c>
      <c r="K694" s="39">
        <f t="shared" si="45"/>
        <v>1200</v>
      </c>
      <c r="L694" s="38">
        <v>3</v>
      </c>
    </row>
    <row r="695" spans="1:12" customFormat="1" x14ac:dyDescent="0.2">
      <c r="A695" s="299"/>
      <c r="B695" s="83" t="s">
        <v>67</v>
      </c>
      <c r="C695" s="84" t="s">
        <v>232</v>
      </c>
      <c r="D695" s="89" t="s">
        <v>398</v>
      </c>
      <c r="E695" s="307"/>
      <c r="F695" s="162">
        <v>1003</v>
      </c>
      <c r="G695" s="304"/>
      <c r="H695" s="162">
        <f>I695/F695</f>
        <v>0.69790628115653042</v>
      </c>
      <c r="I695" s="40">
        <v>700</v>
      </c>
      <c r="J695" s="63">
        <f t="shared" si="44"/>
        <v>0</v>
      </c>
      <c r="K695" s="39">
        <f t="shared" si="45"/>
        <v>700</v>
      </c>
      <c r="L695" s="38">
        <v>2</v>
      </c>
    </row>
    <row r="696" spans="1:12" customFormat="1" x14ac:dyDescent="0.2">
      <c r="A696" s="299"/>
      <c r="B696" s="49" t="s">
        <v>68</v>
      </c>
      <c r="C696" s="58" t="s">
        <v>233</v>
      </c>
      <c r="D696" s="13" t="s">
        <v>378</v>
      </c>
      <c r="E696" s="305">
        <v>28505.183335999998</v>
      </c>
      <c r="F696" s="162">
        <v>693</v>
      </c>
      <c r="G696" s="302">
        <f>SUM(K696:K709)/E696</f>
        <v>0.35256745699676212</v>
      </c>
      <c r="H696" s="162">
        <f t="shared" si="46"/>
        <v>0.44733044733044736</v>
      </c>
      <c r="I696" s="40">
        <v>0</v>
      </c>
      <c r="J696" s="63">
        <f t="shared" si="44"/>
        <v>310</v>
      </c>
      <c r="K696" s="39">
        <f t="shared" si="45"/>
        <v>310</v>
      </c>
      <c r="L696" s="38">
        <v>0</v>
      </c>
    </row>
    <row r="697" spans="1:12" customFormat="1" x14ac:dyDescent="0.2">
      <c r="A697" s="299"/>
      <c r="B697" s="49" t="s">
        <v>68</v>
      </c>
      <c r="C697" s="58" t="s">
        <v>233</v>
      </c>
      <c r="D697" s="13" t="s">
        <v>379</v>
      </c>
      <c r="E697" s="306"/>
      <c r="F697" s="162">
        <v>1024</v>
      </c>
      <c r="G697" s="303"/>
      <c r="H697" s="162">
        <f t="shared" si="46"/>
        <v>0.302734375</v>
      </c>
      <c r="I697" s="40">
        <v>0</v>
      </c>
      <c r="J697" s="63">
        <f t="shared" si="44"/>
        <v>310</v>
      </c>
      <c r="K697" s="39">
        <f t="shared" si="45"/>
        <v>310</v>
      </c>
      <c r="L697" s="38">
        <v>0</v>
      </c>
    </row>
    <row r="698" spans="1:12" customFormat="1" x14ac:dyDescent="0.2">
      <c r="A698" s="299"/>
      <c r="B698" s="49" t="s">
        <v>68</v>
      </c>
      <c r="C698" s="58" t="s">
        <v>233</v>
      </c>
      <c r="D698" s="13" t="s">
        <v>380</v>
      </c>
      <c r="E698" s="306"/>
      <c r="F698" s="162">
        <v>904</v>
      </c>
      <c r="G698" s="303"/>
      <c r="H698" s="162">
        <f t="shared" si="46"/>
        <v>0.34292035398230086</v>
      </c>
      <c r="I698" s="40">
        <v>0</v>
      </c>
      <c r="J698" s="63">
        <f t="shared" si="44"/>
        <v>310</v>
      </c>
      <c r="K698" s="39">
        <f t="shared" si="45"/>
        <v>310</v>
      </c>
      <c r="L698" s="38">
        <v>0</v>
      </c>
    </row>
    <row r="699" spans="1:12" customFormat="1" x14ac:dyDescent="0.2">
      <c r="A699" s="299"/>
      <c r="B699" s="49" t="s">
        <v>68</v>
      </c>
      <c r="C699" s="58" t="s">
        <v>233</v>
      </c>
      <c r="D699" s="13" t="s">
        <v>381</v>
      </c>
      <c r="E699" s="306"/>
      <c r="F699" s="162">
        <v>1001</v>
      </c>
      <c r="G699" s="303"/>
      <c r="H699" s="162">
        <f t="shared" si="46"/>
        <v>0.3096903096903097</v>
      </c>
      <c r="I699" s="40">
        <v>0</v>
      </c>
      <c r="J699" s="63">
        <f t="shared" si="44"/>
        <v>310</v>
      </c>
      <c r="K699" s="39">
        <f t="shared" si="45"/>
        <v>310</v>
      </c>
      <c r="L699" s="38">
        <v>0</v>
      </c>
    </row>
    <row r="700" spans="1:12" customFormat="1" x14ac:dyDescent="0.2">
      <c r="A700" s="299"/>
      <c r="B700" s="49" t="s">
        <v>68</v>
      </c>
      <c r="C700" s="58" t="s">
        <v>233</v>
      </c>
      <c r="D700" s="13" t="s">
        <v>382</v>
      </c>
      <c r="E700" s="306"/>
      <c r="F700" s="162">
        <v>563</v>
      </c>
      <c r="G700" s="303"/>
      <c r="H700" s="162">
        <f t="shared" si="46"/>
        <v>0.55062166962699821</v>
      </c>
      <c r="I700" s="40">
        <v>0</v>
      </c>
      <c r="J700" s="63">
        <f t="shared" si="44"/>
        <v>310</v>
      </c>
      <c r="K700" s="39">
        <f t="shared" si="45"/>
        <v>310</v>
      </c>
      <c r="L700" s="38">
        <v>0</v>
      </c>
    </row>
    <row r="701" spans="1:12" customFormat="1" x14ac:dyDescent="0.2">
      <c r="A701" s="299"/>
      <c r="B701" s="49" t="s">
        <v>68</v>
      </c>
      <c r="C701" s="58" t="s">
        <v>233</v>
      </c>
      <c r="D701" s="13" t="s">
        <v>383</v>
      </c>
      <c r="E701" s="306"/>
      <c r="F701" s="162">
        <v>647</v>
      </c>
      <c r="G701" s="303"/>
      <c r="H701" s="162">
        <f t="shared" si="46"/>
        <v>0.47913446676970634</v>
      </c>
      <c r="I701" s="40">
        <v>0</v>
      </c>
      <c r="J701" s="63">
        <f t="shared" si="44"/>
        <v>310</v>
      </c>
      <c r="K701" s="39">
        <f t="shared" si="45"/>
        <v>310</v>
      </c>
      <c r="L701" s="38">
        <v>0</v>
      </c>
    </row>
    <row r="702" spans="1:12" customFormat="1" x14ac:dyDescent="0.2">
      <c r="A702" s="299"/>
      <c r="B702" s="49" t="s">
        <v>68</v>
      </c>
      <c r="C702" s="58" t="s">
        <v>233</v>
      </c>
      <c r="D702" s="13" t="s">
        <v>384</v>
      </c>
      <c r="E702" s="306"/>
      <c r="F702" s="162">
        <v>1105</v>
      </c>
      <c r="G702" s="303"/>
      <c r="H702" s="162">
        <f t="shared" si="46"/>
        <v>0.28054298642533937</v>
      </c>
      <c r="I702" s="40">
        <v>0</v>
      </c>
      <c r="J702" s="63">
        <f t="shared" si="44"/>
        <v>310</v>
      </c>
      <c r="K702" s="39">
        <f t="shared" si="45"/>
        <v>310</v>
      </c>
      <c r="L702" s="38">
        <v>0</v>
      </c>
    </row>
    <row r="703" spans="1:12" customFormat="1" x14ac:dyDescent="0.2">
      <c r="A703" s="299"/>
      <c r="B703" s="49" t="s">
        <v>68</v>
      </c>
      <c r="C703" s="58" t="s">
        <v>233</v>
      </c>
      <c r="D703" s="13" t="s">
        <v>385</v>
      </c>
      <c r="E703" s="306"/>
      <c r="F703" s="162">
        <v>1696</v>
      </c>
      <c r="G703" s="303"/>
      <c r="H703" s="162">
        <f t="shared" si="46"/>
        <v>0.18278301886792453</v>
      </c>
      <c r="I703" s="40">
        <v>0</v>
      </c>
      <c r="J703" s="63">
        <f t="shared" ref="J703:J717" si="47">K703-I703</f>
        <v>310</v>
      </c>
      <c r="K703" s="39">
        <f t="shared" ref="K703:K767" si="48">F703*H703</f>
        <v>310</v>
      </c>
      <c r="L703" s="38">
        <v>0</v>
      </c>
    </row>
    <row r="704" spans="1:12" customFormat="1" x14ac:dyDescent="0.2">
      <c r="A704" s="299"/>
      <c r="B704" s="49" t="s">
        <v>68</v>
      </c>
      <c r="C704" s="58" t="s">
        <v>233</v>
      </c>
      <c r="D704" s="13" t="s">
        <v>386</v>
      </c>
      <c r="E704" s="306"/>
      <c r="F704" s="162">
        <v>847</v>
      </c>
      <c r="G704" s="303"/>
      <c r="H704" s="162">
        <f t="shared" si="46"/>
        <v>0.36599763872491148</v>
      </c>
      <c r="I704" s="40">
        <v>0</v>
      </c>
      <c r="J704" s="63">
        <f t="shared" si="47"/>
        <v>310</v>
      </c>
      <c r="K704" s="39">
        <f t="shared" si="48"/>
        <v>310</v>
      </c>
      <c r="L704" s="38">
        <v>0</v>
      </c>
    </row>
    <row r="705" spans="1:12" customFormat="1" x14ac:dyDescent="0.2">
      <c r="A705" s="299"/>
      <c r="B705" s="49" t="s">
        <v>68</v>
      </c>
      <c r="C705" s="58" t="s">
        <v>233</v>
      </c>
      <c r="D705" s="13" t="s">
        <v>387</v>
      </c>
      <c r="E705" s="306"/>
      <c r="F705" s="162">
        <v>800</v>
      </c>
      <c r="G705" s="303"/>
      <c r="H705" s="162">
        <f t="shared" si="46"/>
        <v>0.38750000000000001</v>
      </c>
      <c r="I705" s="40">
        <v>0</v>
      </c>
      <c r="J705" s="63">
        <f t="shared" si="47"/>
        <v>310</v>
      </c>
      <c r="K705" s="39">
        <f t="shared" si="48"/>
        <v>310</v>
      </c>
      <c r="L705" s="38">
        <v>0</v>
      </c>
    </row>
    <row r="706" spans="1:12" customFormat="1" x14ac:dyDescent="0.2">
      <c r="A706" s="299"/>
      <c r="B706" s="83" t="s">
        <v>68</v>
      </c>
      <c r="C706" s="84" t="s">
        <v>233</v>
      </c>
      <c r="D706" s="89" t="s">
        <v>388</v>
      </c>
      <c r="E706" s="306"/>
      <c r="F706" s="162">
        <v>1157</v>
      </c>
      <c r="G706" s="303"/>
      <c r="H706" s="162">
        <f>I706/F706</f>
        <v>0.69144338807260153</v>
      </c>
      <c r="I706" s="40">
        <v>800</v>
      </c>
      <c r="J706" s="63">
        <f t="shared" si="47"/>
        <v>0</v>
      </c>
      <c r="K706" s="39">
        <f t="shared" si="48"/>
        <v>800</v>
      </c>
      <c r="L706" s="38">
        <v>2</v>
      </c>
    </row>
    <row r="707" spans="1:12" customFormat="1" x14ac:dyDescent="0.2">
      <c r="A707" s="299"/>
      <c r="B707" s="83" t="s">
        <v>68</v>
      </c>
      <c r="C707" s="84" t="s">
        <v>233</v>
      </c>
      <c r="D707" s="89" t="s">
        <v>389</v>
      </c>
      <c r="E707" s="306"/>
      <c r="F707" s="162">
        <v>11297</v>
      </c>
      <c r="G707" s="303"/>
      <c r="H707" s="162">
        <f>I707/F707</f>
        <v>0.26998318137558641</v>
      </c>
      <c r="I707" s="40">
        <v>3050</v>
      </c>
      <c r="J707" s="63">
        <f t="shared" si="47"/>
        <v>0</v>
      </c>
      <c r="K707" s="39">
        <f t="shared" si="48"/>
        <v>3049.9999999999995</v>
      </c>
      <c r="L707" s="38">
        <v>6</v>
      </c>
    </row>
    <row r="708" spans="1:12" customFormat="1" x14ac:dyDescent="0.2">
      <c r="A708" s="299"/>
      <c r="B708" s="83" t="s">
        <v>68</v>
      </c>
      <c r="C708" s="84" t="s">
        <v>233</v>
      </c>
      <c r="D708" s="89" t="s">
        <v>390</v>
      </c>
      <c r="E708" s="306"/>
      <c r="F708" s="162">
        <v>1563</v>
      </c>
      <c r="G708" s="303"/>
      <c r="H708" s="162">
        <f>I708/F708</f>
        <v>0.63979526551503518</v>
      </c>
      <c r="I708" s="40">
        <v>1000</v>
      </c>
      <c r="J708" s="63">
        <f t="shared" si="47"/>
        <v>0</v>
      </c>
      <c r="K708" s="39">
        <f t="shared" si="48"/>
        <v>1000</v>
      </c>
      <c r="L708" s="38">
        <v>4</v>
      </c>
    </row>
    <row r="709" spans="1:12" customFormat="1" x14ac:dyDescent="0.2">
      <c r="A709" s="299"/>
      <c r="B709" s="83" t="s">
        <v>68</v>
      </c>
      <c r="C709" s="84" t="s">
        <v>233</v>
      </c>
      <c r="D709" s="89" t="s">
        <v>391</v>
      </c>
      <c r="E709" s="307"/>
      <c r="F709" s="162">
        <v>3097</v>
      </c>
      <c r="G709" s="304"/>
      <c r="H709" s="162">
        <f>I709/F709</f>
        <v>0.67807555699063615</v>
      </c>
      <c r="I709" s="40">
        <v>2100</v>
      </c>
      <c r="J709" s="63">
        <f t="shared" si="47"/>
        <v>0</v>
      </c>
      <c r="K709" s="39">
        <f t="shared" si="48"/>
        <v>2100</v>
      </c>
      <c r="L709" s="38">
        <v>7</v>
      </c>
    </row>
    <row r="710" spans="1:12" customFormat="1" x14ac:dyDescent="0.2">
      <c r="A710" s="299"/>
      <c r="B710" s="49" t="s">
        <v>68</v>
      </c>
      <c r="C710" s="58" t="s">
        <v>234</v>
      </c>
      <c r="D710" s="13" t="s">
        <v>378</v>
      </c>
      <c r="E710" s="305">
        <v>10614.865399</v>
      </c>
      <c r="F710" s="162">
        <v>830</v>
      </c>
      <c r="G710" s="302">
        <f>SUM(K710:K713)/E710</f>
        <v>0.93830676373327415</v>
      </c>
      <c r="H710" s="162">
        <f t="shared" si="46"/>
        <v>0.37349397590361444</v>
      </c>
      <c r="I710" s="40">
        <v>0</v>
      </c>
      <c r="J710" s="63">
        <f t="shared" si="47"/>
        <v>310</v>
      </c>
      <c r="K710" s="39">
        <f t="shared" si="48"/>
        <v>310</v>
      </c>
      <c r="L710" s="38">
        <v>0</v>
      </c>
    </row>
    <row r="711" spans="1:12" customFormat="1" x14ac:dyDescent="0.2">
      <c r="A711" s="299"/>
      <c r="B711" s="83" t="s">
        <v>68</v>
      </c>
      <c r="C711" s="84" t="s">
        <v>234</v>
      </c>
      <c r="D711" s="89" t="s">
        <v>379</v>
      </c>
      <c r="E711" s="306"/>
      <c r="F711" s="162">
        <v>5622</v>
      </c>
      <c r="G711" s="303"/>
      <c r="H711" s="162">
        <f>I711/F711</f>
        <v>1.031661330487371</v>
      </c>
      <c r="I711" s="40">
        <v>5800</v>
      </c>
      <c r="J711" s="63">
        <f t="shared" si="47"/>
        <v>0</v>
      </c>
      <c r="K711" s="39">
        <f t="shared" si="48"/>
        <v>5800</v>
      </c>
      <c r="L711" s="38">
        <v>13</v>
      </c>
    </row>
    <row r="712" spans="1:12" customFormat="1" x14ac:dyDescent="0.2">
      <c r="A712" s="299"/>
      <c r="B712" s="83" t="s">
        <v>68</v>
      </c>
      <c r="C712" s="84" t="s">
        <v>234</v>
      </c>
      <c r="D712" s="89" t="s">
        <v>380</v>
      </c>
      <c r="E712" s="306"/>
      <c r="F712" s="162">
        <v>1200</v>
      </c>
      <c r="G712" s="303"/>
      <c r="H712" s="162">
        <f>I712/F712</f>
        <v>1.0833333333333333</v>
      </c>
      <c r="I712" s="40">
        <v>1300</v>
      </c>
      <c r="J712" s="63">
        <f t="shared" si="47"/>
        <v>0</v>
      </c>
      <c r="K712" s="39">
        <f t="shared" si="48"/>
        <v>1300</v>
      </c>
      <c r="L712" s="38">
        <v>7</v>
      </c>
    </row>
    <row r="713" spans="1:12" customFormat="1" x14ac:dyDescent="0.2">
      <c r="A713" s="299"/>
      <c r="B713" s="83" t="s">
        <v>68</v>
      </c>
      <c r="C713" s="84" t="s">
        <v>234</v>
      </c>
      <c r="D713" s="89" t="s">
        <v>381</v>
      </c>
      <c r="E713" s="307"/>
      <c r="F713" s="162">
        <v>2356</v>
      </c>
      <c r="G713" s="304"/>
      <c r="H713" s="162">
        <f>I713/F713</f>
        <v>1.0823429541595926</v>
      </c>
      <c r="I713" s="40">
        <v>2550</v>
      </c>
      <c r="J713" s="63">
        <f t="shared" si="47"/>
        <v>0</v>
      </c>
      <c r="K713" s="39">
        <f t="shared" si="48"/>
        <v>2550</v>
      </c>
      <c r="L713" s="38">
        <v>8</v>
      </c>
    </row>
    <row r="714" spans="1:12" customFormat="1" x14ac:dyDescent="0.2">
      <c r="A714" s="299"/>
      <c r="B714" s="49" t="s">
        <v>68</v>
      </c>
      <c r="C714" s="58" t="s">
        <v>235</v>
      </c>
      <c r="D714" s="13" t="s">
        <v>378</v>
      </c>
      <c r="E714" s="305">
        <v>20458.513233999998</v>
      </c>
      <c r="F714" s="162">
        <v>814</v>
      </c>
      <c r="G714" s="302">
        <f>SUM(K714:K725)/E714</f>
        <v>0.54305021449634439</v>
      </c>
      <c r="H714" s="162">
        <f t="shared" si="46"/>
        <v>0.38083538083538082</v>
      </c>
      <c r="I714" s="40">
        <v>0</v>
      </c>
      <c r="J714" s="63">
        <f t="shared" si="47"/>
        <v>310</v>
      </c>
      <c r="K714" s="39">
        <f t="shared" si="48"/>
        <v>310</v>
      </c>
      <c r="L714" s="38">
        <v>0</v>
      </c>
    </row>
    <row r="715" spans="1:12" customFormat="1" x14ac:dyDescent="0.2">
      <c r="A715" s="299"/>
      <c r="B715" s="49" t="s">
        <v>68</v>
      </c>
      <c r="C715" s="58" t="s">
        <v>235</v>
      </c>
      <c r="D715" s="13" t="s">
        <v>379</v>
      </c>
      <c r="E715" s="306"/>
      <c r="F715" s="162">
        <v>830</v>
      </c>
      <c r="G715" s="303"/>
      <c r="H715" s="162">
        <f t="shared" si="46"/>
        <v>0.37349397590361444</v>
      </c>
      <c r="I715" s="40">
        <v>0</v>
      </c>
      <c r="J715" s="63">
        <f t="shared" si="47"/>
        <v>310</v>
      </c>
      <c r="K715" s="39">
        <f t="shared" si="48"/>
        <v>310</v>
      </c>
      <c r="L715" s="38">
        <v>0</v>
      </c>
    </row>
    <row r="716" spans="1:12" customFormat="1" x14ac:dyDescent="0.2">
      <c r="A716" s="299"/>
      <c r="B716" s="49" t="s">
        <v>68</v>
      </c>
      <c r="C716" s="58" t="s">
        <v>235</v>
      </c>
      <c r="D716" s="13" t="s">
        <v>380</v>
      </c>
      <c r="E716" s="306"/>
      <c r="F716" s="162">
        <v>767</v>
      </c>
      <c r="G716" s="303"/>
      <c r="H716" s="162">
        <f t="shared" si="46"/>
        <v>0.4041720990873533</v>
      </c>
      <c r="I716" s="40">
        <v>0</v>
      </c>
      <c r="J716" s="63">
        <f t="shared" si="47"/>
        <v>310</v>
      </c>
      <c r="K716" s="39">
        <f t="shared" si="48"/>
        <v>310</v>
      </c>
      <c r="L716" s="38">
        <v>0</v>
      </c>
    </row>
    <row r="717" spans="1:12" customFormat="1" x14ac:dyDescent="0.2">
      <c r="A717" s="299"/>
      <c r="B717" s="49" t="s">
        <v>68</v>
      </c>
      <c r="C717" s="58" t="s">
        <v>235</v>
      </c>
      <c r="D717" s="13" t="s">
        <v>381</v>
      </c>
      <c r="E717" s="306"/>
      <c r="F717" s="162">
        <v>948</v>
      </c>
      <c r="G717" s="303"/>
      <c r="H717" s="162">
        <f t="shared" si="46"/>
        <v>0.3270042194092827</v>
      </c>
      <c r="I717" s="40">
        <v>0</v>
      </c>
      <c r="J717" s="63">
        <f t="shared" si="47"/>
        <v>310</v>
      </c>
      <c r="K717" s="39">
        <f t="shared" si="48"/>
        <v>310</v>
      </c>
      <c r="L717" s="38">
        <v>0</v>
      </c>
    </row>
    <row r="718" spans="1:12" customFormat="1" x14ac:dyDescent="0.2">
      <c r="A718" s="299"/>
      <c r="B718" s="49" t="s">
        <v>68</v>
      </c>
      <c r="C718" s="58" t="s">
        <v>235</v>
      </c>
      <c r="D718" s="13" t="s">
        <v>392</v>
      </c>
      <c r="E718" s="306"/>
      <c r="F718" s="162">
        <v>343</v>
      </c>
      <c r="G718" s="303"/>
      <c r="H718" s="162">
        <f>200/F718</f>
        <v>0.58309037900874638</v>
      </c>
      <c r="I718" s="40">
        <v>0</v>
      </c>
      <c r="J718" s="63">
        <v>200</v>
      </c>
      <c r="K718" s="39">
        <f t="shared" si="48"/>
        <v>200</v>
      </c>
      <c r="L718" s="38">
        <v>0</v>
      </c>
    </row>
    <row r="719" spans="1:12" customFormat="1" x14ac:dyDescent="0.2">
      <c r="A719" s="299"/>
      <c r="B719" s="49" t="s">
        <v>68</v>
      </c>
      <c r="C719" s="58" t="s">
        <v>235</v>
      </c>
      <c r="D719" s="13" t="s">
        <v>393</v>
      </c>
      <c r="E719" s="306"/>
      <c r="F719" s="162">
        <v>343</v>
      </c>
      <c r="G719" s="303"/>
      <c r="H719" s="162">
        <f>200/F719</f>
        <v>0.58309037900874638</v>
      </c>
      <c r="I719" s="40">
        <v>0</v>
      </c>
      <c r="J719" s="63">
        <v>200</v>
      </c>
      <c r="K719" s="39">
        <f t="shared" si="48"/>
        <v>200</v>
      </c>
      <c r="L719" s="38">
        <v>0</v>
      </c>
    </row>
    <row r="720" spans="1:12" customFormat="1" x14ac:dyDescent="0.2">
      <c r="A720" s="299"/>
      <c r="B720" s="49" t="s">
        <v>68</v>
      </c>
      <c r="C720" s="58" t="s">
        <v>235</v>
      </c>
      <c r="D720" s="13" t="s">
        <v>383</v>
      </c>
      <c r="E720" s="306"/>
      <c r="F720" s="162">
        <v>602</v>
      </c>
      <c r="G720" s="303"/>
      <c r="H720" s="162">
        <f t="shared" si="46"/>
        <v>0.51495016611295685</v>
      </c>
      <c r="I720" s="40">
        <v>0</v>
      </c>
      <c r="J720" s="63">
        <f t="shared" ref="J720:J768" si="49">K720-I720</f>
        <v>310</v>
      </c>
      <c r="K720" s="39">
        <f t="shared" si="48"/>
        <v>310</v>
      </c>
      <c r="L720" s="38">
        <v>0</v>
      </c>
    </row>
    <row r="721" spans="1:12" customFormat="1" x14ac:dyDescent="0.2">
      <c r="A721" s="299"/>
      <c r="B721" s="49" t="s">
        <v>68</v>
      </c>
      <c r="C721" s="58" t="s">
        <v>235</v>
      </c>
      <c r="D721" s="13" t="s">
        <v>384</v>
      </c>
      <c r="E721" s="306"/>
      <c r="F721" s="162">
        <v>388</v>
      </c>
      <c r="G721" s="303"/>
      <c r="H721" s="162">
        <f t="shared" si="46"/>
        <v>0.7989690721649485</v>
      </c>
      <c r="I721" s="40">
        <v>0</v>
      </c>
      <c r="J721" s="63">
        <f t="shared" si="49"/>
        <v>310</v>
      </c>
      <c r="K721" s="39">
        <f t="shared" si="48"/>
        <v>310</v>
      </c>
      <c r="L721" s="38">
        <v>0</v>
      </c>
    </row>
    <row r="722" spans="1:12" customFormat="1" x14ac:dyDescent="0.2">
      <c r="A722" s="299"/>
      <c r="B722" s="83" t="s">
        <v>68</v>
      </c>
      <c r="C722" s="84" t="s">
        <v>235</v>
      </c>
      <c r="D722" s="89" t="s">
        <v>385</v>
      </c>
      <c r="E722" s="306"/>
      <c r="F722" s="162">
        <v>4001</v>
      </c>
      <c r="G722" s="303"/>
      <c r="H722" s="162">
        <f>I722/F722</f>
        <v>0.69982504373906529</v>
      </c>
      <c r="I722" s="40">
        <v>2800</v>
      </c>
      <c r="J722" s="63">
        <f t="shared" si="49"/>
        <v>0</v>
      </c>
      <c r="K722" s="39">
        <f t="shared" si="48"/>
        <v>2800</v>
      </c>
      <c r="L722" s="38">
        <v>8</v>
      </c>
    </row>
    <row r="723" spans="1:12" customFormat="1" x14ac:dyDescent="0.2">
      <c r="A723" s="299"/>
      <c r="B723" s="83" t="s">
        <v>68</v>
      </c>
      <c r="C723" s="84" t="s">
        <v>235</v>
      </c>
      <c r="D723" s="89" t="s">
        <v>386</v>
      </c>
      <c r="E723" s="306"/>
      <c r="F723" s="162">
        <v>615</v>
      </c>
      <c r="G723" s="303"/>
      <c r="H723" s="162">
        <f>I723/F723</f>
        <v>0.65040650406504064</v>
      </c>
      <c r="I723" s="40">
        <v>400</v>
      </c>
      <c r="J723" s="63">
        <f t="shared" si="49"/>
        <v>0</v>
      </c>
      <c r="K723" s="39">
        <f t="shared" si="48"/>
        <v>400</v>
      </c>
      <c r="L723" s="38">
        <v>2</v>
      </c>
    </row>
    <row r="724" spans="1:12" customFormat="1" x14ac:dyDescent="0.2">
      <c r="A724" s="299"/>
      <c r="B724" s="83" t="s">
        <v>68</v>
      </c>
      <c r="C724" s="84" t="s">
        <v>235</v>
      </c>
      <c r="D724" s="89" t="s">
        <v>387</v>
      </c>
      <c r="E724" s="306"/>
      <c r="F724" s="162">
        <v>648</v>
      </c>
      <c r="G724" s="303"/>
      <c r="H724" s="162">
        <f>I724/F724</f>
        <v>0.69444444444444442</v>
      </c>
      <c r="I724" s="40">
        <v>450</v>
      </c>
      <c r="J724" s="63">
        <f t="shared" si="49"/>
        <v>0</v>
      </c>
      <c r="K724" s="39">
        <f t="shared" si="48"/>
        <v>450</v>
      </c>
      <c r="L724" s="38">
        <v>2</v>
      </c>
    </row>
    <row r="725" spans="1:12" customFormat="1" x14ac:dyDescent="0.2">
      <c r="A725" s="299"/>
      <c r="B725" s="83" t="s">
        <v>68</v>
      </c>
      <c r="C725" s="84" t="s">
        <v>235</v>
      </c>
      <c r="D725" s="89" t="s">
        <v>388</v>
      </c>
      <c r="E725" s="307"/>
      <c r="F725" s="162">
        <v>9518</v>
      </c>
      <c r="G725" s="304"/>
      <c r="H725" s="162">
        <f>I725/F725</f>
        <v>0.54633326329060727</v>
      </c>
      <c r="I725" s="40">
        <v>5200</v>
      </c>
      <c r="J725" s="63">
        <f t="shared" si="49"/>
        <v>0</v>
      </c>
      <c r="K725" s="39">
        <f t="shared" si="48"/>
        <v>5200</v>
      </c>
      <c r="L725" s="38">
        <v>12</v>
      </c>
    </row>
    <row r="726" spans="1:12" customFormat="1" x14ac:dyDescent="0.2">
      <c r="A726" s="299"/>
      <c r="B726" s="49" t="s">
        <v>67</v>
      </c>
      <c r="C726" s="58" t="s">
        <v>236</v>
      </c>
      <c r="D726" s="13" t="s">
        <v>378</v>
      </c>
      <c r="E726" s="305">
        <v>25785.669173999999</v>
      </c>
      <c r="F726" s="162">
        <v>1147</v>
      </c>
      <c r="G726" s="302">
        <f>SUM(K726:K742)/E726</f>
        <v>0.36338013711305517</v>
      </c>
      <c r="H726" s="162">
        <f t="shared" si="46"/>
        <v>0.27027027027027029</v>
      </c>
      <c r="I726" s="40">
        <v>0</v>
      </c>
      <c r="J726" s="63">
        <f t="shared" si="49"/>
        <v>310</v>
      </c>
      <c r="K726" s="39">
        <f t="shared" si="48"/>
        <v>310</v>
      </c>
      <c r="L726" s="38">
        <v>0</v>
      </c>
    </row>
    <row r="727" spans="1:12" customFormat="1" x14ac:dyDescent="0.2">
      <c r="A727" s="299"/>
      <c r="B727" s="49" t="s">
        <v>67</v>
      </c>
      <c r="C727" s="58" t="s">
        <v>236</v>
      </c>
      <c r="D727" s="13" t="s">
        <v>379</v>
      </c>
      <c r="E727" s="306"/>
      <c r="F727" s="162">
        <v>1173</v>
      </c>
      <c r="G727" s="303"/>
      <c r="H727" s="162">
        <f t="shared" si="46"/>
        <v>0.26427962489343565</v>
      </c>
      <c r="I727" s="40">
        <v>0</v>
      </c>
      <c r="J727" s="63">
        <f t="shared" si="49"/>
        <v>310</v>
      </c>
      <c r="K727" s="39">
        <f t="shared" si="48"/>
        <v>310</v>
      </c>
      <c r="L727" s="38">
        <v>0</v>
      </c>
    </row>
    <row r="728" spans="1:12" customFormat="1" x14ac:dyDescent="0.2">
      <c r="A728" s="299"/>
      <c r="B728" s="49" t="s">
        <v>67</v>
      </c>
      <c r="C728" s="58" t="s">
        <v>236</v>
      </c>
      <c r="D728" s="13" t="s">
        <v>380</v>
      </c>
      <c r="E728" s="306"/>
      <c r="F728" s="162">
        <v>878</v>
      </c>
      <c r="G728" s="303"/>
      <c r="H728" s="162">
        <f t="shared" si="46"/>
        <v>0.35307517084282458</v>
      </c>
      <c r="I728" s="40">
        <v>0</v>
      </c>
      <c r="J728" s="63">
        <f t="shared" si="49"/>
        <v>310</v>
      </c>
      <c r="K728" s="39">
        <f t="shared" si="48"/>
        <v>310</v>
      </c>
      <c r="L728" s="38">
        <v>0</v>
      </c>
    </row>
    <row r="729" spans="1:12" customFormat="1" x14ac:dyDescent="0.2">
      <c r="A729" s="299"/>
      <c r="B729" s="49" t="s">
        <v>67</v>
      </c>
      <c r="C729" s="58" t="s">
        <v>236</v>
      </c>
      <c r="D729" s="13" t="s">
        <v>381</v>
      </c>
      <c r="E729" s="306"/>
      <c r="F729" s="162">
        <v>1062</v>
      </c>
      <c r="G729" s="303"/>
      <c r="H729" s="162">
        <f t="shared" si="46"/>
        <v>0.29190207156308851</v>
      </c>
      <c r="I729" s="40">
        <v>0</v>
      </c>
      <c r="J729" s="63">
        <f t="shared" si="49"/>
        <v>310</v>
      </c>
      <c r="K729" s="39">
        <f t="shared" si="48"/>
        <v>310</v>
      </c>
      <c r="L729" s="38">
        <v>0</v>
      </c>
    </row>
    <row r="730" spans="1:12" customFormat="1" x14ac:dyDescent="0.2">
      <c r="A730" s="299"/>
      <c r="B730" s="49" t="s">
        <v>67</v>
      </c>
      <c r="C730" s="58" t="s">
        <v>236</v>
      </c>
      <c r="D730" s="13" t="s">
        <v>382</v>
      </c>
      <c r="E730" s="306"/>
      <c r="F730" s="162">
        <v>896</v>
      </c>
      <c r="G730" s="303"/>
      <c r="H730" s="162">
        <f t="shared" si="46"/>
        <v>0.34598214285714285</v>
      </c>
      <c r="I730" s="40">
        <v>0</v>
      </c>
      <c r="J730" s="63">
        <f t="shared" si="49"/>
        <v>310</v>
      </c>
      <c r="K730" s="39">
        <f t="shared" si="48"/>
        <v>310</v>
      </c>
      <c r="L730" s="38">
        <v>0</v>
      </c>
    </row>
    <row r="731" spans="1:12" customFormat="1" x14ac:dyDescent="0.2">
      <c r="A731" s="299"/>
      <c r="B731" s="49" t="s">
        <v>67</v>
      </c>
      <c r="C731" s="58" t="s">
        <v>236</v>
      </c>
      <c r="D731" s="13" t="s">
        <v>383</v>
      </c>
      <c r="E731" s="306"/>
      <c r="F731" s="162">
        <v>954</v>
      </c>
      <c r="G731" s="303"/>
      <c r="H731" s="162">
        <f t="shared" si="46"/>
        <v>0.3249475890985325</v>
      </c>
      <c r="I731" s="40">
        <v>0</v>
      </c>
      <c r="J731" s="63">
        <f t="shared" si="49"/>
        <v>310</v>
      </c>
      <c r="K731" s="39">
        <f t="shared" si="48"/>
        <v>310</v>
      </c>
      <c r="L731" s="38">
        <v>0</v>
      </c>
    </row>
    <row r="732" spans="1:12" customFormat="1" x14ac:dyDescent="0.2">
      <c r="A732" s="299"/>
      <c r="B732" s="49" t="s">
        <v>67</v>
      </c>
      <c r="C732" s="58" t="s">
        <v>236</v>
      </c>
      <c r="D732" s="13" t="s">
        <v>384</v>
      </c>
      <c r="E732" s="306"/>
      <c r="F732" s="162">
        <v>983</v>
      </c>
      <c r="G732" s="303"/>
      <c r="H732" s="162">
        <f t="shared" si="46"/>
        <v>0.31536113936927773</v>
      </c>
      <c r="I732" s="40">
        <v>0</v>
      </c>
      <c r="J732" s="63">
        <f t="shared" si="49"/>
        <v>310</v>
      </c>
      <c r="K732" s="39">
        <f t="shared" si="48"/>
        <v>310</v>
      </c>
      <c r="L732" s="38">
        <v>0</v>
      </c>
    </row>
    <row r="733" spans="1:12" customFormat="1" x14ac:dyDescent="0.2">
      <c r="A733" s="299"/>
      <c r="B733" s="49" t="s">
        <v>67</v>
      </c>
      <c r="C733" s="58" t="s">
        <v>236</v>
      </c>
      <c r="D733" s="13" t="s">
        <v>385</v>
      </c>
      <c r="E733" s="306"/>
      <c r="F733" s="162">
        <v>1024</v>
      </c>
      <c r="G733" s="303"/>
      <c r="H733" s="162">
        <f t="shared" si="46"/>
        <v>0.302734375</v>
      </c>
      <c r="I733" s="40">
        <v>0</v>
      </c>
      <c r="J733" s="63">
        <f t="shared" si="49"/>
        <v>310</v>
      </c>
      <c r="K733" s="39">
        <f t="shared" si="48"/>
        <v>310</v>
      </c>
      <c r="L733" s="38">
        <v>0</v>
      </c>
    </row>
    <row r="734" spans="1:12" customFormat="1" x14ac:dyDescent="0.2">
      <c r="A734" s="299"/>
      <c r="B734" s="49" t="s">
        <v>67</v>
      </c>
      <c r="C734" s="58" t="s">
        <v>236</v>
      </c>
      <c r="D734" s="13" t="s">
        <v>386</v>
      </c>
      <c r="E734" s="306"/>
      <c r="F734" s="162">
        <v>1040</v>
      </c>
      <c r="G734" s="303"/>
      <c r="H734" s="162">
        <f t="shared" si="46"/>
        <v>0.29807692307692307</v>
      </c>
      <c r="I734" s="40">
        <v>0</v>
      </c>
      <c r="J734" s="63">
        <f t="shared" si="49"/>
        <v>310</v>
      </c>
      <c r="K734" s="39">
        <f t="shared" si="48"/>
        <v>310</v>
      </c>
      <c r="L734" s="38">
        <v>0</v>
      </c>
    </row>
    <row r="735" spans="1:12" customFormat="1" x14ac:dyDescent="0.2">
      <c r="A735" s="299"/>
      <c r="B735" s="49" t="s">
        <v>67</v>
      </c>
      <c r="C735" s="58" t="s">
        <v>236</v>
      </c>
      <c r="D735" s="13" t="s">
        <v>387</v>
      </c>
      <c r="E735" s="306"/>
      <c r="F735" s="162">
        <v>998</v>
      </c>
      <c r="G735" s="303"/>
      <c r="H735" s="162">
        <f t="shared" si="46"/>
        <v>0.31062124248496992</v>
      </c>
      <c r="I735" s="40">
        <v>0</v>
      </c>
      <c r="J735" s="63">
        <f t="shared" si="49"/>
        <v>310</v>
      </c>
      <c r="K735" s="39">
        <f t="shared" si="48"/>
        <v>310</v>
      </c>
      <c r="L735" s="38">
        <v>0</v>
      </c>
    </row>
    <row r="736" spans="1:12" customFormat="1" x14ac:dyDescent="0.2">
      <c r="A736" s="299"/>
      <c r="B736" s="49" t="s">
        <v>67</v>
      </c>
      <c r="C736" s="58" t="s">
        <v>236</v>
      </c>
      <c r="D736" s="13" t="s">
        <v>388</v>
      </c>
      <c r="E736" s="306"/>
      <c r="F736" s="162">
        <v>938</v>
      </c>
      <c r="G736" s="303"/>
      <c r="H736" s="162">
        <f t="shared" si="46"/>
        <v>0.33049040511727079</v>
      </c>
      <c r="I736" s="40">
        <v>0</v>
      </c>
      <c r="J736" s="63">
        <f t="shared" si="49"/>
        <v>310</v>
      </c>
      <c r="K736" s="39">
        <f t="shared" si="48"/>
        <v>310</v>
      </c>
      <c r="L736" s="38">
        <v>0</v>
      </c>
    </row>
    <row r="737" spans="1:12" customFormat="1" x14ac:dyDescent="0.2">
      <c r="A737" s="299"/>
      <c r="B737" s="49" t="s">
        <v>67</v>
      </c>
      <c r="C737" s="58" t="s">
        <v>236</v>
      </c>
      <c r="D737" s="13" t="s">
        <v>389</v>
      </c>
      <c r="E737" s="306"/>
      <c r="F737" s="162">
        <v>759</v>
      </c>
      <c r="G737" s="303"/>
      <c r="H737" s="162">
        <f t="shared" si="46"/>
        <v>0.40843214756258234</v>
      </c>
      <c r="I737" s="40">
        <v>0</v>
      </c>
      <c r="J737" s="63">
        <f t="shared" si="49"/>
        <v>310</v>
      </c>
      <c r="K737" s="39">
        <f t="shared" si="48"/>
        <v>310</v>
      </c>
      <c r="L737" s="38">
        <v>0</v>
      </c>
    </row>
    <row r="738" spans="1:12" customFormat="1" x14ac:dyDescent="0.2">
      <c r="A738" s="299"/>
      <c r="B738" s="83" t="s">
        <v>67</v>
      </c>
      <c r="C738" s="84" t="s">
        <v>236</v>
      </c>
      <c r="D738" s="89" t="s">
        <v>390</v>
      </c>
      <c r="E738" s="306"/>
      <c r="F738" s="162">
        <v>1785</v>
      </c>
      <c r="G738" s="303"/>
      <c r="H738" s="162">
        <f>I738/F738</f>
        <v>0.47619047619047616</v>
      </c>
      <c r="I738" s="40">
        <v>850</v>
      </c>
      <c r="J738" s="63">
        <f t="shared" si="49"/>
        <v>0</v>
      </c>
      <c r="K738" s="39">
        <f t="shared" si="48"/>
        <v>850</v>
      </c>
      <c r="L738" s="38">
        <v>3</v>
      </c>
    </row>
    <row r="739" spans="1:12" customFormat="1" x14ac:dyDescent="0.2">
      <c r="A739" s="299"/>
      <c r="B739" s="83" t="s">
        <v>67</v>
      </c>
      <c r="C739" s="84" t="s">
        <v>236</v>
      </c>
      <c r="D739" s="89" t="s">
        <v>391</v>
      </c>
      <c r="E739" s="306"/>
      <c r="F739" s="162">
        <v>1450</v>
      </c>
      <c r="G739" s="303"/>
      <c r="H739" s="162">
        <f>I739/F739</f>
        <v>0.51724137931034486</v>
      </c>
      <c r="I739" s="40">
        <v>750</v>
      </c>
      <c r="J739" s="63">
        <f t="shared" si="49"/>
        <v>0</v>
      </c>
      <c r="K739" s="39">
        <f t="shared" si="48"/>
        <v>750</v>
      </c>
      <c r="L739" s="38">
        <v>3</v>
      </c>
    </row>
    <row r="740" spans="1:12" customFormat="1" x14ac:dyDescent="0.2">
      <c r="A740" s="299"/>
      <c r="B740" s="83" t="s">
        <v>67</v>
      </c>
      <c r="C740" s="84" t="s">
        <v>236</v>
      </c>
      <c r="D740" s="89" t="s">
        <v>396</v>
      </c>
      <c r="E740" s="306"/>
      <c r="F740" s="162">
        <v>2518</v>
      </c>
      <c r="G740" s="303"/>
      <c r="H740" s="162">
        <f>I740/F740</f>
        <v>0.51628276409849083</v>
      </c>
      <c r="I740" s="40">
        <v>1300</v>
      </c>
      <c r="J740" s="63">
        <f t="shared" si="49"/>
        <v>0</v>
      </c>
      <c r="K740" s="39">
        <f t="shared" si="48"/>
        <v>1300</v>
      </c>
      <c r="L740" s="38">
        <v>5</v>
      </c>
    </row>
    <row r="741" spans="1:12" customFormat="1" x14ac:dyDescent="0.2">
      <c r="A741" s="299"/>
      <c r="B741" s="83" t="s">
        <v>67</v>
      </c>
      <c r="C741" s="84" t="s">
        <v>236</v>
      </c>
      <c r="D741" s="89" t="s">
        <v>397</v>
      </c>
      <c r="E741" s="306"/>
      <c r="F741" s="162">
        <v>3324</v>
      </c>
      <c r="G741" s="303"/>
      <c r="H741" s="162">
        <f>I741/F741</f>
        <v>0.51143200962695545</v>
      </c>
      <c r="I741" s="40">
        <v>1700</v>
      </c>
      <c r="J741" s="63">
        <f t="shared" si="49"/>
        <v>0</v>
      </c>
      <c r="K741" s="39">
        <f t="shared" si="48"/>
        <v>1700</v>
      </c>
      <c r="L741" s="38">
        <v>6</v>
      </c>
    </row>
    <row r="742" spans="1:12" customFormat="1" x14ac:dyDescent="0.2">
      <c r="A742" s="299"/>
      <c r="B742" s="83" t="s">
        <v>67</v>
      </c>
      <c r="C742" s="84" t="s">
        <v>236</v>
      </c>
      <c r="D742" s="89" t="s">
        <v>398</v>
      </c>
      <c r="E742" s="307"/>
      <c r="F742" s="162">
        <v>2189</v>
      </c>
      <c r="G742" s="304"/>
      <c r="H742" s="162">
        <f>I742/F742</f>
        <v>0.47967108268615805</v>
      </c>
      <c r="I742" s="40">
        <v>1050</v>
      </c>
      <c r="J742" s="63">
        <f t="shared" si="49"/>
        <v>0</v>
      </c>
      <c r="K742" s="39">
        <f t="shared" si="48"/>
        <v>1050</v>
      </c>
      <c r="L742" s="38">
        <v>4</v>
      </c>
    </row>
    <row r="743" spans="1:12" customFormat="1" x14ac:dyDescent="0.2">
      <c r="A743" s="299"/>
      <c r="B743" s="49" t="s">
        <v>67</v>
      </c>
      <c r="C743" s="58" t="s">
        <v>246</v>
      </c>
      <c r="D743" s="13" t="s">
        <v>378</v>
      </c>
      <c r="E743" s="305">
        <v>30451.592707</v>
      </c>
      <c r="F743" s="162">
        <v>1559</v>
      </c>
      <c r="G743" s="302">
        <f>SUM(K743:K751)/E743</f>
        <v>0.29587943352233409</v>
      </c>
      <c r="H743" s="162">
        <f t="shared" si="46"/>
        <v>0.19884541372674791</v>
      </c>
      <c r="I743" s="40">
        <v>0</v>
      </c>
      <c r="J743" s="63">
        <f t="shared" si="49"/>
        <v>310</v>
      </c>
      <c r="K743" s="39">
        <f t="shared" si="48"/>
        <v>310</v>
      </c>
      <c r="L743" s="38">
        <v>0</v>
      </c>
    </row>
    <row r="744" spans="1:12" customFormat="1" x14ac:dyDescent="0.2">
      <c r="A744" s="299"/>
      <c r="B744" s="49" t="s">
        <v>67</v>
      </c>
      <c r="C744" s="58" t="s">
        <v>246</v>
      </c>
      <c r="D744" s="13" t="s">
        <v>379</v>
      </c>
      <c r="E744" s="306"/>
      <c r="F744" s="162">
        <v>1627</v>
      </c>
      <c r="G744" s="303"/>
      <c r="H744" s="162">
        <f t="shared" si="46"/>
        <v>0.19053472649047326</v>
      </c>
      <c r="I744" s="40">
        <v>0</v>
      </c>
      <c r="J744" s="63">
        <f t="shared" si="49"/>
        <v>310</v>
      </c>
      <c r="K744" s="39">
        <f t="shared" si="48"/>
        <v>310</v>
      </c>
      <c r="L744" s="38">
        <v>0</v>
      </c>
    </row>
    <row r="745" spans="1:12" customFormat="1" x14ac:dyDescent="0.2">
      <c r="A745" s="299"/>
      <c r="B745" s="49" t="s">
        <v>67</v>
      </c>
      <c r="C745" s="58" t="s">
        <v>246</v>
      </c>
      <c r="D745" s="13" t="s">
        <v>380</v>
      </c>
      <c r="E745" s="306"/>
      <c r="F745" s="162">
        <v>2007</v>
      </c>
      <c r="G745" s="303"/>
      <c r="H745" s="162">
        <f t="shared" si="46"/>
        <v>0.15445939212755355</v>
      </c>
      <c r="I745" s="40">
        <v>0</v>
      </c>
      <c r="J745" s="63">
        <f t="shared" si="49"/>
        <v>310</v>
      </c>
      <c r="K745" s="39">
        <f t="shared" si="48"/>
        <v>310</v>
      </c>
      <c r="L745" s="38">
        <v>0</v>
      </c>
    </row>
    <row r="746" spans="1:12" customFormat="1" x14ac:dyDescent="0.2">
      <c r="A746" s="299"/>
      <c r="B746" s="49" t="s">
        <v>67</v>
      </c>
      <c r="C746" s="58" t="s">
        <v>246</v>
      </c>
      <c r="D746" s="13" t="s">
        <v>381</v>
      </c>
      <c r="E746" s="306"/>
      <c r="F746" s="162">
        <v>2140</v>
      </c>
      <c r="G746" s="303"/>
      <c r="H746" s="162">
        <f t="shared" si="46"/>
        <v>0.14485981308411214</v>
      </c>
      <c r="I746" s="40">
        <v>0</v>
      </c>
      <c r="J746" s="63">
        <f t="shared" si="49"/>
        <v>310</v>
      </c>
      <c r="K746" s="39">
        <f t="shared" si="48"/>
        <v>310</v>
      </c>
      <c r="L746" s="38">
        <v>0</v>
      </c>
    </row>
    <row r="747" spans="1:12" customFormat="1" x14ac:dyDescent="0.2">
      <c r="A747" s="299"/>
      <c r="B747" s="49" t="s">
        <v>67</v>
      </c>
      <c r="C747" s="58" t="s">
        <v>246</v>
      </c>
      <c r="D747" s="13" t="s">
        <v>382</v>
      </c>
      <c r="E747" s="306"/>
      <c r="F747" s="162">
        <v>2136</v>
      </c>
      <c r="G747" s="303"/>
      <c r="H747" s="162">
        <f t="shared" si="46"/>
        <v>0.14513108614232209</v>
      </c>
      <c r="I747" s="40">
        <v>0</v>
      </c>
      <c r="J747" s="63">
        <f t="shared" si="49"/>
        <v>310</v>
      </c>
      <c r="K747" s="39">
        <f t="shared" si="48"/>
        <v>310</v>
      </c>
      <c r="L747" s="38">
        <v>0</v>
      </c>
    </row>
    <row r="748" spans="1:12" customFormat="1" x14ac:dyDescent="0.2">
      <c r="A748" s="299"/>
      <c r="B748" s="49" t="s">
        <v>67</v>
      </c>
      <c r="C748" s="58" t="s">
        <v>246</v>
      </c>
      <c r="D748" s="13" t="s">
        <v>383</v>
      </c>
      <c r="E748" s="306"/>
      <c r="F748" s="162">
        <v>1302</v>
      </c>
      <c r="G748" s="303"/>
      <c r="H748" s="162">
        <f t="shared" si="46"/>
        <v>0.23809523809523808</v>
      </c>
      <c r="I748" s="40">
        <v>0</v>
      </c>
      <c r="J748" s="63">
        <f t="shared" si="49"/>
        <v>310</v>
      </c>
      <c r="K748" s="39">
        <f t="shared" si="48"/>
        <v>310</v>
      </c>
      <c r="L748" s="38">
        <v>0</v>
      </c>
    </row>
    <row r="749" spans="1:12" customFormat="1" x14ac:dyDescent="0.2">
      <c r="A749" s="299"/>
      <c r="B749" s="83" t="s">
        <v>67</v>
      </c>
      <c r="C749" s="84" t="s">
        <v>246</v>
      </c>
      <c r="D749" s="89" t="s">
        <v>384</v>
      </c>
      <c r="E749" s="306"/>
      <c r="F749" s="162">
        <v>8063</v>
      </c>
      <c r="G749" s="303"/>
      <c r="H749" s="162">
        <f>I749/F749</f>
        <v>0.34726528587374428</v>
      </c>
      <c r="I749" s="40">
        <v>2800</v>
      </c>
      <c r="J749" s="63">
        <f t="shared" si="49"/>
        <v>0</v>
      </c>
      <c r="K749" s="39">
        <f t="shared" si="48"/>
        <v>2800</v>
      </c>
      <c r="L749" s="38">
        <v>8</v>
      </c>
    </row>
    <row r="750" spans="1:12" customFormat="1" x14ac:dyDescent="0.2">
      <c r="A750" s="299"/>
      <c r="B750" s="83" t="s">
        <v>67</v>
      </c>
      <c r="C750" s="84" t="s">
        <v>246</v>
      </c>
      <c r="D750" s="89" t="s">
        <v>385</v>
      </c>
      <c r="E750" s="306"/>
      <c r="F750" s="162">
        <v>8815</v>
      </c>
      <c r="G750" s="303"/>
      <c r="H750" s="162">
        <f>I750/F750</f>
        <v>0.36301758366420872</v>
      </c>
      <c r="I750" s="40">
        <v>3200</v>
      </c>
      <c r="J750" s="63">
        <f t="shared" si="49"/>
        <v>0</v>
      </c>
      <c r="K750" s="39">
        <f t="shared" si="48"/>
        <v>3200</v>
      </c>
      <c r="L750" s="38">
        <v>9</v>
      </c>
    </row>
    <row r="751" spans="1:12" customFormat="1" x14ac:dyDescent="0.2">
      <c r="A751" s="299"/>
      <c r="B751" s="83" t="s">
        <v>67</v>
      </c>
      <c r="C751" s="84" t="s">
        <v>246</v>
      </c>
      <c r="D751" s="89" t="s">
        <v>386</v>
      </c>
      <c r="E751" s="307"/>
      <c r="F751" s="162">
        <v>2642</v>
      </c>
      <c r="G751" s="304"/>
      <c r="H751" s="162">
        <f>I751/F751</f>
        <v>0.43527630582891746</v>
      </c>
      <c r="I751" s="40">
        <v>1150</v>
      </c>
      <c r="J751" s="63">
        <f t="shared" si="49"/>
        <v>0</v>
      </c>
      <c r="K751" s="39">
        <f t="shared" si="48"/>
        <v>1150</v>
      </c>
      <c r="L751" s="38">
        <v>5</v>
      </c>
    </row>
    <row r="752" spans="1:12" customFormat="1" x14ac:dyDescent="0.2">
      <c r="A752" s="299"/>
      <c r="B752" s="49" t="s">
        <v>68</v>
      </c>
      <c r="C752" s="58" t="s">
        <v>247</v>
      </c>
      <c r="D752" s="13" t="s">
        <v>378</v>
      </c>
      <c r="E752" s="305">
        <v>34192.756474000002</v>
      </c>
      <c r="F752" s="162">
        <v>1123</v>
      </c>
      <c r="G752" s="302">
        <f>SUM(K752:K768)/E752</f>
        <v>0.31761112937056973</v>
      </c>
      <c r="H752" s="162">
        <f t="shared" si="46"/>
        <v>0.27604630454140694</v>
      </c>
      <c r="I752" s="40">
        <v>0</v>
      </c>
      <c r="J752" s="63">
        <f t="shared" si="49"/>
        <v>310</v>
      </c>
      <c r="K752" s="39">
        <f t="shared" si="48"/>
        <v>310</v>
      </c>
      <c r="L752" s="38">
        <v>0</v>
      </c>
    </row>
    <row r="753" spans="1:12" customFormat="1" x14ac:dyDescent="0.2">
      <c r="A753" s="299"/>
      <c r="B753" s="49" t="s">
        <v>67</v>
      </c>
      <c r="C753" s="58" t="s">
        <v>247</v>
      </c>
      <c r="D753" s="13" t="s">
        <v>379</v>
      </c>
      <c r="E753" s="306"/>
      <c r="F753" s="162">
        <v>2237</v>
      </c>
      <c r="G753" s="303"/>
      <c r="H753" s="162">
        <f t="shared" si="46"/>
        <v>0.13857845328565044</v>
      </c>
      <c r="I753" s="40">
        <v>0</v>
      </c>
      <c r="J753" s="63">
        <f t="shared" si="49"/>
        <v>310.00000000000006</v>
      </c>
      <c r="K753" s="39">
        <f t="shared" si="48"/>
        <v>310.00000000000006</v>
      </c>
      <c r="L753" s="38">
        <v>0</v>
      </c>
    </row>
    <row r="754" spans="1:12" customFormat="1" x14ac:dyDescent="0.2">
      <c r="A754" s="299"/>
      <c r="B754" s="49" t="s">
        <v>68</v>
      </c>
      <c r="C754" s="58" t="s">
        <v>247</v>
      </c>
      <c r="D754" s="13" t="s">
        <v>380</v>
      </c>
      <c r="E754" s="306"/>
      <c r="F754" s="162">
        <v>1772</v>
      </c>
      <c r="G754" s="303"/>
      <c r="H754" s="162">
        <f t="shared" si="46"/>
        <v>0.17494356659142213</v>
      </c>
      <c r="I754" s="40">
        <v>0</v>
      </c>
      <c r="J754" s="63">
        <f t="shared" si="49"/>
        <v>310</v>
      </c>
      <c r="K754" s="39">
        <f t="shared" si="48"/>
        <v>310</v>
      </c>
      <c r="L754" s="38">
        <v>0</v>
      </c>
    </row>
    <row r="755" spans="1:12" customFormat="1" x14ac:dyDescent="0.2">
      <c r="A755" s="299"/>
      <c r="B755" s="49" t="s">
        <v>68</v>
      </c>
      <c r="C755" s="58" t="s">
        <v>247</v>
      </c>
      <c r="D755" s="13" t="s">
        <v>381</v>
      </c>
      <c r="E755" s="306"/>
      <c r="F755" s="162">
        <v>1108</v>
      </c>
      <c r="G755" s="303"/>
      <c r="H755" s="162">
        <f t="shared" si="46"/>
        <v>0.27978339350180503</v>
      </c>
      <c r="I755" s="40">
        <v>0</v>
      </c>
      <c r="J755" s="63">
        <f t="shared" si="49"/>
        <v>310</v>
      </c>
      <c r="K755" s="39">
        <f t="shared" si="48"/>
        <v>310</v>
      </c>
      <c r="L755" s="38">
        <v>0</v>
      </c>
    </row>
    <row r="756" spans="1:12" customFormat="1" x14ac:dyDescent="0.2">
      <c r="A756" s="299"/>
      <c r="B756" s="49" t="s">
        <v>68</v>
      </c>
      <c r="C756" s="58" t="s">
        <v>247</v>
      </c>
      <c r="D756" s="13" t="s">
        <v>382</v>
      </c>
      <c r="E756" s="306"/>
      <c r="F756" s="162">
        <v>1142</v>
      </c>
      <c r="G756" s="303"/>
      <c r="H756" s="162">
        <f t="shared" si="46"/>
        <v>0.27145359019264448</v>
      </c>
      <c r="I756" s="40">
        <v>0</v>
      </c>
      <c r="J756" s="63">
        <f t="shared" si="49"/>
        <v>310</v>
      </c>
      <c r="K756" s="39">
        <f t="shared" si="48"/>
        <v>310</v>
      </c>
      <c r="L756" s="38">
        <v>0</v>
      </c>
    </row>
    <row r="757" spans="1:12" customFormat="1" x14ac:dyDescent="0.2">
      <c r="A757" s="299"/>
      <c r="B757" s="49" t="s">
        <v>68</v>
      </c>
      <c r="C757" s="58" t="s">
        <v>247</v>
      </c>
      <c r="D757" s="13" t="s">
        <v>383</v>
      </c>
      <c r="E757" s="306"/>
      <c r="F757" s="162">
        <v>2038</v>
      </c>
      <c r="G757" s="303"/>
      <c r="H757" s="162">
        <f t="shared" si="46"/>
        <v>0.1521099116781158</v>
      </c>
      <c r="I757" s="40">
        <v>0</v>
      </c>
      <c r="J757" s="63">
        <f t="shared" si="49"/>
        <v>310</v>
      </c>
      <c r="K757" s="39">
        <f t="shared" si="48"/>
        <v>310</v>
      </c>
      <c r="L757" s="38">
        <v>0</v>
      </c>
    </row>
    <row r="758" spans="1:12" customFormat="1" x14ac:dyDescent="0.2">
      <c r="A758" s="299"/>
      <c r="B758" s="49" t="s">
        <v>68</v>
      </c>
      <c r="C758" s="58" t="s">
        <v>247</v>
      </c>
      <c r="D758" s="13" t="s">
        <v>384</v>
      </c>
      <c r="E758" s="306"/>
      <c r="F758" s="162">
        <v>2050</v>
      </c>
      <c r="G758" s="303"/>
      <c r="H758" s="162">
        <f t="shared" si="46"/>
        <v>0.15121951219512195</v>
      </c>
      <c r="I758" s="40">
        <v>0</v>
      </c>
      <c r="J758" s="63">
        <f t="shared" si="49"/>
        <v>310</v>
      </c>
      <c r="K758" s="39">
        <f t="shared" si="48"/>
        <v>310</v>
      </c>
      <c r="L758" s="38">
        <v>0</v>
      </c>
    </row>
    <row r="759" spans="1:12" customFormat="1" x14ac:dyDescent="0.2">
      <c r="A759" s="299"/>
      <c r="B759" s="49" t="s">
        <v>68</v>
      </c>
      <c r="C759" s="58" t="s">
        <v>247</v>
      </c>
      <c r="D759" s="13" t="s">
        <v>385</v>
      </c>
      <c r="E759" s="306"/>
      <c r="F759" s="162">
        <v>1387</v>
      </c>
      <c r="G759" s="303"/>
      <c r="H759" s="162">
        <f t="shared" si="46"/>
        <v>0.22350396539293438</v>
      </c>
      <c r="I759" s="40">
        <v>0</v>
      </c>
      <c r="J759" s="63">
        <f t="shared" si="49"/>
        <v>310</v>
      </c>
      <c r="K759" s="39">
        <f t="shared" si="48"/>
        <v>310</v>
      </c>
      <c r="L759" s="38">
        <v>0</v>
      </c>
    </row>
    <row r="760" spans="1:12" customFormat="1" x14ac:dyDescent="0.2">
      <c r="A760" s="299"/>
      <c r="B760" s="49" t="s">
        <v>68</v>
      </c>
      <c r="C760" s="58" t="s">
        <v>247</v>
      </c>
      <c r="D760" s="13" t="s">
        <v>386</v>
      </c>
      <c r="E760" s="306"/>
      <c r="F760" s="162">
        <v>745</v>
      </c>
      <c r="G760" s="303"/>
      <c r="H760" s="162">
        <f t="shared" si="46"/>
        <v>0.41610738255033558</v>
      </c>
      <c r="I760" s="40">
        <v>0</v>
      </c>
      <c r="J760" s="63">
        <f t="shared" si="49"/>
        <v>310</v>
      </c>
      <c r="K760" s="39">
        <f t="shared" si="48"/>
        <v>310</v>
      </c>
      <c r="L760" s="38">
        <v>0</v>
      </c>
    </row>
    <row r="761" spans="1:12" customFormat="1" x14ac:dyDescent="0.2">
      <c r="A761" s="299"/>
      <c r="B761" s="49" t="s">
        <v>68</v>
      </c>
      <c r="C761" s="58" t="s">
        <v>247</v>
      </c>
      <c r="D761" s="13" t="s">
        <v>899</v>
      </c>
      <c r="E761" s="306"/>
      <c r="F761" s="162">
        <v>504</v>
      </c>
      <c r="G761" s="303"/>
      <c r="H761" s="162">
        <f>0/F761</f>
        <v>0</v>
      </c>
      <c r="I761" s="40">
        <v>0</v>
      </c>
      <c r="J761" s="63">
        <f t="shared" ref="J761" si="50">K761-I761</f>
        <v>0</v>
      </c>
      <c r="K761" s="39">
        <f t="shared" ref="K761" si="51">F761*H761</f>
        <v>0</v>
      </c>
      <c r="L761" s="38">
        <v>0</v>
      </c>
    </row>
    <row r="762" spans="1:12" customFormat="1" x14ac:dyDescent="0.2">
      <c r="A762" s="299"/>
      <c r="B762" s="49" t="s">
        <v>68</v>
      </c>
      <c r="C762" s="58" t="s">
        <v>247</v>
      </c>
      <c r="D762" s="13" t="s">
        <v>387</v>
      </c>
      <c r="E762" s="306"/>
      <c r="F762" s="162">
        <v>1100</v>
      </c>
      <c r="G762" s="303"/>
      <c r="H762" s="162">
        <f t="shared" si="46"/>
        <v>0.2818181818181818</v>
      </c>
      <c r="I762" s="40">
        <v>0</v>
      </c>
      <c r="J762" s="63">
        <f t="shared" si="49"/>
        <v>310</v>
      </c>
      <c r="K762" s="39">
        <f t="shared" si="48"/>
        <v>310</v>
      </c>
      <c r="L762" s="38">
        <v>0</v>
      </c>
    </row>
    <row r="763" spans="1:12" customFormat="1" x14ac:dyDescent="0.2">
      <c r="A763" s="299"/>
      <c r="B763" s="49" t="s">
        <v>68</v>
      </c>
      <c r="C763" s="58" t="s">
        <v>247</v>
      </c>
      <c r="D763" s="13" t="s">
        <v>388</v>
      </c>
      <c r="E763" s="306"/>
      <c r="F763" s="162">
        <v>1891</v>
      </c>
      <c r="G763" s="303"/>
      <c r="H763" s="162">
        <f t="shared" si="46"/>
        <v>0.16393442622950818</v>
      </c>
      <c r="I763" s="40">
        <v>0</v>
      </c>
      <c r="J763" s="63">
        <f t="shared" si="49"/>
        <v>310</v>
      </c>
      <c r="K763" s="39">
        <f t="shared" si="48"/>
        <v>310</v>
      </c>
      <c r="L763" s="38">
        <v>0</v>
      </c>
    </row>
    <row r="764" spans="1:12" customFormat="1" x14ac:dyDescent="0.2">
      <c r="A764" s="299"/>
      <c r="B764" s="83" t="s">
        <v>68</v>
      </c>
      <c r="C764" s="84" t="s">
        <v>247</v>
      </c>
      <c r="D764" s="89" t="s">
        <v>389</v>
      </c>
      <c r="E764" s="306"/>
      <c r="F764" s="162">
        <v>2707</v>
      </c>
      <c r="G764" s="303"/>
      <c r="H764" s="162">
        <f>I764/F764</f>
        <v>0.6280014776505356</v>
      </c>
      <c r="I764" s="40">
        <v>1700</v>
      </c>
      <c r="J764" s="63">
        <f t="shared" si="49"/>
        <v>0</v>
      </c>
      <c r="K764" s="39">
        <f t="shared" si="48"/>
        <v>1699.9999999999998</v>
      </c>
      <c r="L764" s="38">
        <v>6</v>
      </c>
    </row>
    <row r="765" spans="1:12" customFormat="1" x14ac:dyDescent="0.2">
      <c r="A765" s="299"/>
      <c r="B765" s="83" t="s">
        <v>67</v>
      </c>
      <c r="C765" s="84" t="s">
        <v>247</v>
      </c>
      <c r="D765" s="89" t="s">
        <v>390</v>
      </c>
      <c r="E765" s="306"/>
      <c r="F765" s="162">
        <v>1446</v>
      </c>
      <c r="G765" s="303"/>
      <c r="H765" s="162">
        <f t="shared" ref="H765:H771" si="52">I765/F765</f>
        <v>0.38035961272475793</v>
      </c>
      <c r="I765" s="40">
        <v>550</v>
      </c>
      <c r="J765" s="63">
        <f t="shared" si="49"/>
        <v>0</v>
      </c>
      <c r="K765" s="39">
        <f t="shared" si="48"/>
        <v>550</v>
      </c>
      <c r="L765" s="38">
        <v>2</v>
      </c>
    </row>
    <row r="766" spans="1:12" customFormat="1" x14ac:dyDescent="0.2">
      <c r="A766" s="299"/>
      <c r="B766" s="83" t="s">
        <v>68</v>
      </c>
      <c r="C766" s="84" t="s">
        <v>247</v>
      </c>
      <c r="D766" s="89" t="s">
        <v>391</v>
      </c>
      <c r="E766" s="306"/>
      <c r="F766" s="162">
        <v>2577</v>
      </c>
      <c r="G766" s="303"/>
      <c r="H766" s="162">
        <f t="shared" si="52"/>
        <v>0.50446255335661627</v>
      </c>
      <c r="I766" s="40">
        <v>1300</v>
      </c>
      <c r="J766" s="63">
        <f t="shared" si="49"/>
        <v>0</v>
      </c>
      <c r="K766" s="39">
        <f t="shared" si="48"/>
        <v>1300.0000000000002</v>
      </c>
      <c r="L766" s="38">
        <v>5</v>
      </c>
    </row>
    <row r="767" spans="1:12" customFormat="1" x14ac:dyDescent="0.2">
      <c r="A767" s="299"/>
      <c r="B767" s="83" t="s">
        <v>68</v>
      </c>
      <c r="C767" s="84" t="s">
        <v>247</v>
      </c>
      <c r="D767" s="89" t="s">
        <v>396</v>
      </c>
      <c r="E767" s="306"/>
      <c r="F767" s="162">
        <v>756</v>
      </c>
      <c r="G767" s="303"/>
      <c r="H767" s="162">
        <f t="shared" si="52"/>
        <v>0.66137566137566139</v>
      </c>
      <c r="I767" s="40">
        <v>500</v>
      </c>
      <c r="J767" s="63">
        <f t="shared" si="49"/>
        <v>0</v>
      </c>
      <c r="K767" s="39">
        <f t="shared" si="48"/>
        <v>500</v>
      </c>
      <c r="L767" s="38">
        <v>2</v>
      </c>
    </row>
    <row r="768" spans="1:12" customFormat="1" x14ac:dyDescent="0.2">
      <c r="A768" s="299"/>
      <c r="B768" s="83" t="s">
        <v>68</v>
      </c>
      <c r="C768" s="84" t="s">
        <v>247</v>
      </c>
      <c r="D768" s="89" t="s">
        <v>397</v>
      </c>
      <c r="E768" s="307"/>
      <c r="F768" s="162">
        <v>9583</v>
      </c>
      <c r="G768" s="304"/>
      <c r="H768" s="162">
        <f t="shared" si="52"/>
        <v>0.35479494938954398</v>
      </c>
      <c r="I768" s="40">
        <v>3400</v>
      </c>
      <c r="J768" s="63">
        <f t="shared" si="49"/>
        <v>0</v>
      </c>
      <c r="K768" s="39">
        <f t="shared" ref="K768:K828" si="53">F768*H768</f>
        <v>3400</v>
      </c>
      <c r="L768" s="38">
        <v>12</v>
      </c>
    </row>
    <row r="769" spans="1:12" customFormat="1" x14ac:dyDescent="0.2">
      <c r="A769" s="299"/>
      <c r="B769" s="83" t="s">
        <v>68</v>
      </c>
      <c r="C769" s="84" t="s">
        <v>248</v>
      </c>
      <c r="D769" s="102" t="s">
        <v>378</v>
      </c>
      <c r="E769" s="305">
        <f>12828.958345+2023.814935</f>
        <v>14852.773279999999</v>
      </c>
      <c r="F769" s="162">
        <v>4599</v>
      </c>
      <c r="G769" s="302">
        <f>SUM(K769:K771)/E769</f>
        <v>0.42079683586202293</v>
      </c>
      <c r="H769" s="162">
        <f t="shared" si="52"/>
        <v>0.3587736464448793</v>
      </c>
      <c r="I769" s="40">
        <v>1650</v>
      </c>
      <c r="J769" s="63">
        <v>0</v>
      </c>
      <c r="K769" s="39">
        <f t="shared" si="53"/>
        <v>1650</v>
      </c>
      <c r="L769" s="38">
        <v>6</v>
      </c>
    </row>
    <row r="770" spans="1:12" customFormat="1" x14ac:dyDescent="0.2">
      <c r="A770" s="299"/>
      <c r="B770" s="83" t="s">
        <v>68</v>
      </c>
      <c r="C770" s="84" t="s">
        <v>248</v>
      </c>
      <c r="D770" s="89" t="s">
        <v>379</v>
      </c>
      <c r="E770" s="306"/>
      <c r="F770" s="162">
        <v>7875</v>
      </c>
      <c r="G770" s="303"/>
      <c r="H770" s="162">
        <f t="shared" si="52"/>
        <v>0.46984126984126984</v>
      </c>
      <c r="I770" s="40">
        <v>3700</v>
      </c>
      <c r="J770" s="63">
        <v>0</v>
      </c>
      <c r="K770" s="39">
        <f t="shared" si="53"/>
        <v>3700</v>
      </c>
      <c r="L770" s="38">
        <v>15</v>
      </c>
    </row>
    <row r="771" spans="1:12" customFormat="1" x14ac:dyDescent="0.2">
      <c r="A771" s="299"/>
      <c r="B771" s="83" t="s">
        <v>68</v>
      </c>
      <c r="C771" s="84" t="s">
        <v>248</v>
      </c>
      <c r="D771" s="89" t="s">
        <v>380</v>
      </c>
      <c r="E771" s="307"/>
      <c r="F771" s="162">
        <v>2022</v>
      </c>
      <c r="G771" s="304"/>
      <c r="H771" s="162">
        <f t="shared" si="52"/>
        <v>0.44510385756676557</v>
      </c>
      <c r="I771" s="40">
        <v>900</v>
      </c>
      <c r="J771" s="63">
        <v>0</v>
      </c>
      <c r="K771" s="39">
        <f t="shared" si="53"/>
        <v>900</v>
      </c>
      <c r="L771" s="38">
        <v>3</v>
      </c>
    </row>
    <row r="772" spans="1:12" s="93" customFormat="1" x14ac:dyDescent="0.2">
      <c r="A772" s="299"/>
      <c r="B772" s="83" t="s">
        <v>68</v>
      </c>
      <c r="C772" s="94" t="s">
        <v>394</v>
      </c>
      <c r="D772" s="102" t="s">
        <v>378</v>
      </c>
      <c r="E772" s="336">
        <v>8719.9601970000003</v>
      </c>
      <c r="F772" s="164">
        <v>610</v>
      </c>
      <c r="G772" s="333">
        <f>SUM(K772:K776)/E772</f>
        <v>0.40825874425720154</v>
      </c>
      <c r="H772" s="164">
        <f t="shared" ref="H772:H826" si="54">310/F772</f>
        <v>0.50819672131147542</v>
      </c>
      <c r="I772" s="90">
        <v>0</v>
      </c>
      <c r="J772" s="63">
        <f t="shared" ref="J772:J803" si="55">K772-I772</f>
        <v>310</v>
      </c>
      <c r="K772" s="39">
        <f t="shared" si="53"/>
        <v>310</v>
      </c>
      <c r="L772" s="92">
        <v>0</v>
      </c>
    </row>
    <row r="773" spans="1:12" customFormat="1" x14ac:dyDescent="0.2">
      <c r="A773" s="299"/>
      <c r="B773" s="83" t="s">
        <v>68</v>
      </c>
      <c r="C773" s="84" t="s">
        <v>394</v>
      </c>
      <c r="D773" s="89" t="s">
        <v>379</v>
      </c>
      <c r="E773" s="337"/>
      <c r="F773" s="162">
        <v>1008</v>
      </c>
      <c r="G773" s="334"/>
      <c r="H773" s="162">
        <f t="shared" si="54"/>
        <v>0.30753968253968256</v>
      </c>
      <c r="I773" s="40">
        <v>0</v>
      </c>
      <c r="J773" s="63">
        <f t="shared" si="55"/>
        <v>310</v>
      </c>
      <c r="K773" s="39">
        <f t="shared" si="53"/>
        <v>310</v>
      </c>
      <c r="L773" s="38">
        <v>0</v>
      </c>
    </row>
    <row r="774" spans="1:12" customFormat="1" x14ac:dyDescent="0.2">
      <c r="A774" s="299"/>
      <c r="B774" s="83" t="s">
        <v>68</v>
      </c>
      <c r="C774" s="84" t="s">
        <v>394</v>
      </c>
      <c r="D774" s="89" t="s">
        <v>380</v>
      </c>
      <c r="E774" s="337"/>
      <c r="F774" s="162">
        <v>574</v>
      </c>
      <c r="G774" s="334"/>
      <c r="H774" s="162">
        <f t="shared" si="54"/>
        <v>0.54006968641114983</v>
      </c>
      <c r="I774" s="40">
        <v>0</v>
      </c>
      <c r="J774" s="63">
        <f t="shared" si="55"/>
        <v>310</v>
      </c>
      <c r="K774" s="39">
        <f t="shared" si="53"/>
        <v>310</v>
      </c>
      <c r="L774" s="38">
        <v>0</v>
      </c>
    </row>
    <row r="775" spans="1:12" s="93" customFormat="1" x14ac:dyDescent="0.2">
      <c r="A775" s="299"/>
      <c r="B775" s="83" t="s">
        <v>68</v>
      </c>
      <c r="C775" s="94" t="s">
        <v>394</v>
      </c>
      <c r="D775" s="89" t="s">
        <v>381</v>
      </c>
      <c r="E775" s="337"/>
      <c r="F775" s="162">
        <v>3682</v>
      </c>
      <c r="G775" s="334"/>
      <c r="H775" s="164">
        <f>I775/F775</f>
        <v>0.44269418794133625</v>
      </c>
      <c r="I775" s="90">
        <v>1630</v>
      </c>
      <c r="J775" s="91">
        <f t="shared" si="55"/>
        <v>0</v>
      </c>
      <c r="K775" s="39">
        <f t="shared" si="53"/>
        <v>1630</v>
      </c>
      <c r="L775" s="92">
        <v>9</v>
      </c>
    </row>
    <row r="776" spans="1:12" customFormat="1" x14ac:dyDescent="0.2">
      <c r="A776" s="299"/>
      <c r="B776" s="83" t="s">
        <v>68</v>
      </c>
      <c r="C776" s="84" t="s">
        <v>394</v>
      </c>
      <c r="D776" s="89" t="s">
        <v>382</v>
      </c>
      <c r="E776" s="338"/>
      <c r="F776" s="162">
        <v>2846</v>
      </c>
      <c r="G776" s="335"/>
      <c r="H776" s="164">
        <f>I776/F776</f>
        <v>0.35137034434293746</v>
      </c>
      <c r="I776" s="40">
        <v>1000</v>
      </c>
      <c r="J776" s="63">
        <f t="shared" si="55"/>
        <v>0</v>
      </c>
      <c r="K776" s="39">
        <f t="shared" si="53"/>
        <v>1000</v>
      </c>
      <c r="L776" s="38">
        <v>5</v>
      </c>
    </row>
    <row r="777" spans="1:12" customFormat="1" x14ac:dyDescent="0.2">
      <c r="A777" s="299"/>
      <c r="B777" s="49" t="s">
        <v>67</v>
      </c>
      <c r="C777" s="58" t="s">
        <v>395</v>
      </c>
      <c r="D777" s="13" t="s">
        <v>378</v>
      </c>
      <c r="E777" s="305">
        <v>40830.079232999997</v>
      </c>
      <c r="F777" s="162">
        <v>819</v>
      </c>
      <c r="G777" s="302">
        <f>SUM(K777:K798)/E777</f>
        <v>0.32231140000736824</v>
      </c>
      <c r="H777" s="162">
        <f t="shared" si="54"/>
        <v>0.3785103785103785</v>
      </c>
      <c r="I777" s="40">
        <v>0</v>
      </c>
      <c r="J777" s="63">
        <f t="shared" si="55"/>
        <v>310</v>
      </c>
      <c r="K777" s="39">
        <f t="shared" si="53"/>
        <v>310</v>
      </c>
      <c r="L777" s="38">
        <v>0</v>
      </c>
    </row>
    <row r="778" spans="1:12" customFormat="1" x14ac:dyDescent="0.2">
      <c r="A778" s="299"/>
      <c r="B778" s="49" t="s">
        <v>67</v>
      </c>
      <c r="C778" s="58" t="s">
        <v>395</v>
      </c>
      <c r="D778" s="13" t="s">
        <v>379</v>
      </c>
      <c r="E778" s="306"/>
      <c r="F778" s="162">
        <v>811</v>
      </c>
      <c r="G778" s="303"/>
      <c r="H778" s="162">
        <f t="shared" si="54"/>
        <v>0.38224414303329224</v>
      </c>
      <c r="I778" s="40">
        <v>0</v>
      </c>
      <c r="J778" s="63">
        <f t="shared" si="55"/>
        <v>310</v>
      </c>
      <c r="K778" s="39">
        <f t="shared" si="53"/>
        <v>310</v>
      </c>
      <c r="L778" s="38">
        <v>0</v>
      </c>
    </row>
    <row r="779" spans="1:12" customFormat="1" x14ac:dyDescent="0.2">
      <c r="A779" s="299"/>
      <c r="B779" s="49" t="s">
        <v>67</v>
      </c>
      <c r="C779" s="58" t="s">
        <v>395</v>
      </c>
      <c r="D779" s="13" t="s">
        <v>380</v>
      </c>
      <c r="E779" s="306"/>
      <c r="F779" s="162">
        <v>1124</v>
      </c>
      <c r="G779" s="303"/>
      <c r="H779" s="162">
        <f t="shared" si="54"/>
        <v>0.27580071174377224</v>
      </c>
      <c r="I779" s="40">
        <v>0</v>
      </c>
      <c r="J779" s="63">
        <f t="shared" si="55"/>
        <v>310</v>
      </c>
      <c r="K779" s="39">
        <f t="shared" si="53"/>
        <v>310</v>
      </c>
      <c r="L779" s="38">
        <v>0</v>
      </c>
    </row>
    <row r="780" spans="1:12" customFormat="1" x14ac:dyDescent="0.2">
      <c r="A780" s="299"/>
      <c r="B780" s="49" t="s">
        <v>67</v>
      </c>
      <c r="C780" s="58" t="s">
        <v>395</v>
      </c>
      <c r="D780" s="13" t="s">
        <v>381</v>
      </c>
      <c r="E780" s="306"/>
      <c r="F780" s="162">
        <v>667</v>
      </c>
      <c r="G780" s="303"/>
      <c r="H780" s="162">
        <f t="shared" si="54"/>
        <v>0.46476761619190404</v>
      </c>
      <c r="I780" s="40">
        <v>0</v>
      </c>
      <c r="J780" s="63">
        <f t="shared" si="55"/>
        <v>310</v>
      </c>
      <c r="K780" s="39">
        <f t="shared" si="53"/>
        <v>310</v>
      </c>
      <c r="L780" s="38">
        <v>0</v>
      </c>
    </row>
    <row r="781" spans="1:12" customFormat="1" x14ac:dyDescent="0.2">
      <c r="A781" s="299"/>
      <c r="B781" s="49" t="s">
        <v>67</v>
      </c>
      <c r="C781" s="58" t="s">
        <v>395</v>
      </c>
      <c r="D781" s="13" t="s">
        <v>382</v>
      </c>
      <c r="E781" s="306"/>
      <c r="F781" s="162">
        <v>851</v>
      </c>
      <c r="G781" s="303"/>
      <c r="H781" s="162">
        <f t="shared" si="54"/>
        <v>0.36427732079905994</v>
      </c>
      <c r="I781" s="40">
        <v>0</v>
      </c>
      <c r="J781" s="63">
        <f t="shared" si="55"/>
        <v>310</v>
      </c>
      <c r="K781" s="39">
        <f t="shared" si="53"/>
        <v>310</v>
      </c>
      <c r="L781" s="38">
        <v>0</v>
      </c>
    </row>
    <row r="782" spans="1:12" customFormat="1" x14ac:dyDescent="0.2">
      <c r="A782" s="299"/>
      <c r="B782" s="49" t="s">
        <v>206</v>
      </c>
      <c r="C782" s="58" t="s">
        <v>395</v>
      </c>
      <c r="D782" s="13" t="s">
        <v>383</v>
      </c>
      <c r="E782" s="306"/>
      <c r="F782" s="162">
        <v>1406</v>
      </c>
      <c r="G782" s="303"/>
      <c r="H782" s="162">
        <f t="shared" si="54"/>
        <v>0.22048364153627312</v>
      </c>
      <c r="I782" s="40">
        <v>0</v>
      </c>
      <c r="J782" s="63">
        <f t="shared" si="55"/>
        <v>310</v>
      </c>
      <c r="K782" s="39">
        <f t="shared" si="53"/>
        <v>310</v>
      </c>
      <c r="L782" s="38">
        <v>0</v>
      </c>
    </row>
    <row r="783" spans="1:12" customFormat="1" x14ac:dyDescent="0.2">
      <c r="A783" s="299"/>
      <c r="B783" s="49" t="s">
        <v>206</v>
      </c>
      <c r="C783" s="58" t="s">
        <v>395</v>
      </c>
      <c r="D783" s="13" t="s">
        <v>384</v>
      </c>
      <c r="E783" s="306"/>
      <c r="F783" s="162">
        <v>1150</v>
      </c>
      <c r="G783" s="303"/>
      <c r="H783" s="162">
        <f t="shared" si="54"/>
        <v>0.26956521739130435</v>
      </c>
      <c r="I783" s="40">
        <v>0</v>
      </c>
      <c r="J783" s="63">
        <f t="shared" si="55"/>
        <v>310</v>
      </c>
      <c r="K783" s="39">
        <f t="shared" si="53"/>
        <v>310</v>
      </c>
      <c r="L783" s="38">
        <v>0</v>
      </c>
    </row>
    <row r="784" spans="1:12" customFormat="1" x14ac:dyDescent="0.2">
      <c r="A784" s="299"/>
      <c r="B784" s="49" t="s">
        <v>206</v>
      </c>
      <c r="C784" s="58" t="s">
        <v>395</v>
      </c>
      <c r="D784" s="13" t="s">
        <v>385</v>
      </c>
      <c r="E784" s="306"/>
      <c r="F784" s="162">
        <v>1024</v>
      </c>
      <c r="G784" s="303"/>
      <c r="H784" s="162">
        <f t="shared" si="54"/>
        <v>0.302734375</v>
      </c>
      <c r="I784" s="40">
        <v>0</v>
      </c>
      <c r="J784" s="63">
        <f t="shared" si="55"/>
        <v>310</v>
      </c>
      <c r="K784" s="39">
        <f t="shared" si="53"/>
        <v>310</v>
      </c>
      <c r="L784" s="38">
        <v>0</v>
      </c>
    </row>
    <row r="785" spans="1:12" customFormat="1" x14ac:dyDescent="0.2">
      <c r="A785" s="299"/>
      <c r="B785" s="49" t="s">
        <v>8</v>
      </c>
      <c r="C785" s="58" t="s">
        <v>395</v>
      </c>
      <c r="D785" s="13" t="s">
        <v>386</v>
      </c>
      <c r="E785" s="306"/>
      <c r="F785" s="162">
        <v>1167</v>
      </c>
      <c r="G785" s="303"/>
      <c r="H785" s="162">
        <f t="shared" si="54"/>
        <v>0.26563838903170522</v>
      </c>
      <c r="I785" s="40">
        <v>0</v>
      </c>
      <c r="J785" s="63">
        <f t="shared" si="55"/>
        <v>310</v>
      </c>
      <c r="K785" s="39">
        <f t="shared" si="53"/>
        <v>310</v>
      </c>
      <c r="L785" s="38">
        <v>0</v>
      </c>
    </row>
    <row r="786" spans="1:12" customFormat="1" x14ac:dyDescent="0.2">
      <c r="A786" s="299"/>
      <c r="B786" s="49" t="s">
        <v>8</v>
      </c>
      <c r="C786" s="58" t="s">
        <v>395</v>
      </c>
      <c r="D786" s="13" t="s">
        <v>387</v>
      </c>
      <c r="E786" s="306"/>
      <c r="F786" s="162">
        <v>1284</v>
      </c>
      <c r="G786" s="303"/>
      <c r="H786" s="162">
        <f t="shared" si="54"/>
        <v>0.24143302180685358</v>
      </c>
      <c r="I786" s="40">
        <v>0</v>
      </c>
      <c r="J786" s="63">
        <f t="shared" si="55"/>
        <v>310</v>
      </c>
      <c r="K786" s="39">
        <f t="shared" si="53"/>
        <v>310</v>
      </c>
      <c r="L786" s="38">
        <v>0</v>
      </c>
    </row>
    <row r="787" spans="1:12" customFormat="1" x14ac:dyDescent="0.2">
      <c r="A787" s="299"/>
      <c r="B787" s="49" t="s">
        <v>8</v>
      </c>
      <c r="C787" s="58" t="s">
        <v>395</v>
      </c>
      <c r="D787" s="13" t="s">
        <v>388</v>
      </c>
      <c r="E787" s="306"/>
      <c r="F787" s="162">
        <v>1341</v>
      </c>
      <c r="G787" s="303"/>
      <c r="H787" s="162">
        <f t="shared" si="54"/>
        <v>0.23117076808351977</v>
      </c>
      <c r="I787" s="40">
        <v>0</v>
      </c>
      <c r="J787" s="63">
        <f t="shared" si="55"/>
        <v>310</v>
      </c>
      <c r="K787" s="39">
        <f t="shared" si="53"/>
        <v>310</v>
      </c>
      <c r="L787" s="38">
        <v>0</v>
      </c>
    </row>
    <row r="788" spans="1:12" customFormat="1" x14ac:dyDescent="0.2">
      <c r="A788" s="299"/>
      <c r="B788" s="49" t="s">
        <v>8</v>
      </c>
      <c r="C788" s="58" t="s">
        <v>395</v>
      </c>
      <c r="D788" s="13" t="s">
        <v>389</v>
      </c>
      <c r="E788" s="306"/>
      <c r="F788" s="162">
        <v>1432</v>
      </c>
      <c r="G788" s="303"/>
      <c r="H788" s="162">
        <f t="shared" si="54"/>
        <v>0.21648044692737431</v>
      </c>
      <c r="I788" s="40">
        <v>0</v>
      </c>
      <c r="J788" s="63">
        <f t="shared" si="55"/>
        <v>310</v>
      </c>
      <c r="K788" s="39">
        <f t="shared" si="53"/>
        <v>310</v>
      </c>
      <c r="L788" s="38">
        <v>0</v>
      </c>
    </row>
    <row r="789" spans="1:12" customFormat="1" x14ac:dyDescent="0.2">
      <c r="A789" s="299"/>
      <c r="B789" s="49" t="s">
        <v>8</v>
      </c>
      <c r="C789" s="58" t="s">
        <v>395</v>
      </c>
      <c r="D789" s="13" t="s">
        <v>390</v>
      </c>
      <c r="E789" s="306"/>
      <c r="F789" s="162">
        <v>957</v>
      </c>
      <c r="G789" s="303"/>
      <c r="H789" s="162">
        <f t="shared" si="54"/>
        <v>0.32392894461859978</v>
      </c>
      <c r="I789" s="40">
        <v>0</v>
      </c>
      <c r="J789" s="63">
        <f t="shared" si="55"/>
        <v>310</v>
      </c>
      <c r="K789" s="39">
        <f t="shared" si="53"/>
        <v>310</v>
      </c>
      <c r="L789" s="38">
        <v>0</v>
      </c>
    </row>
    <row r="790" spans="1:12" customFormat="1" x14ac:dyDescent="0.2">
      <c r="A790" s="299"/>
      <c r="B790" s="49" t="s">
        <v>8</v>
      </c>
      <c r="C790" s="58" t="s">
        <v>395</v>
      </c>
      <c r="D790" s="13" t="s">
        <v>391</v>
      </c>
      <c r="E790" s="306"/>
      <c r="F790" s="162">
        <v>1462</v>
      </c>
      <c r="G790" s="303"/>
      <c r="H790" s="162">
        <f t="shared" si="54"/>
        <v>0.21203830369357046</v>
      </c>
      <c r="I790" s="40">
        <v>0</v>
      </c>
      <c r="J790" s="63">
        <f t="shared" si="55"/>
        <v>310</v>
      </c>
      <c r="K790" s="39">
        <f t="shared" si="53"/>
        <v>310</v>
      </c>
      <c r="L790" s="38">
        <v>0</v>
      </c>
    </row>
    <row r="791" spans="1:12" customFormat="1" x14ac:dyDescent="0.2">
      <c r="A791" s="299"/>
      <c r="B791" s="49" t="s">
        <v>8</v>
      </c>
      <c r="C791" s="58" t="s">
        <v>395</v>
      </c>
      <c r="D791" s="13" t="s">
        <v>396</v>
      </c>
      <c r="E791" s="306"/>
      <c r="F791" s="162">
        <v>792</v>
      </c>
      <c r="G791" s="303"/>
      <c r="H791" s="162">
        <f t="shared" si="54"/>
        <v>0.39141414141414144</v>
      </c>
      <c r="I791" s="40">
        <v>0</v>
      </c>
      <c r="J791" s="63">
        <f t="shared" si="55"/>
        <v>310</v>
      </c>
      <c r="K791" s="39">
        <f t="shared" si="53"/>
        <v>310</v>
      </c>
      <c r="L791" s="38">
        <v>0</v>
      </c>
    </row>
    <row r="792" spans="1:12" customFormat="1" x14ac:dyDescent="0.2">
      <c r="A792" s="299"/>
      <c r="B792" s="49" t="s">
        <v>8</v>
      </c>
      <c r="C792" s="58" t="s">
        <v>395</v>
      </c>
      <c r="D792" s="13" t="s">
        <v>397</v>
      </c>
      <c r="E792" s="306"/>
      <c r="F792" s="162">
        <v>795</v>
      </c>
      <c r="G792" s="303"/>
      <c r="H792" s="162">
        <f t="shared" si="54"/>
        <v>0.38993710691823902</v>
      </c>
      <c r="I792" s="40">
        <v>0</v>
      </c>
      <c r="J792" s="63">
        <f t="shared" si="55"/>
        <v>310</v>
      </c>
      <c r="K792" s="39">
        <f t="shared" si="53"/>
        <v>310</v>
      </c>
      <c r="L792" s="38">
        <v>0</v>
      </c>
    </row>
    <row r="793" spans="1:12" customFormat="1" x14ac:dyDescent="0.2">
      <c r="A793" s="299"/>
      <c r="B793" s="49" t="s">
        <v>67</v>
      </c>
      <c r="C793" s="58" t="s">
        <v>395</v>
      </c>
      <c r="D793" s="13" t="s">
        <v>398</v>
      </c>
      <c r="E793" s="306"/>
      <c r="F793" s="162">
        <v>1602</v>
      </c>
      <c r="G793" s="303"/>
      <c r="H793" s="162">
        <f t="shared" si="54"/>
        <v>0.19350811485642946</v>
      </c>
      <c r="I793" s="40">
        <v>0</v>
      </c>
      <c r="J793" s="63">
        <f t="shared" si="55"/>
        <v>310</v>
      </c>
      <c r="K793" s="39">
        <f t="shared" si="53"/>
        <v>310</v>
      </c>
      <c r="L793" s="38">
        <v>0</v>
      </c>
    </row>
    <row r="794" spans="1:12" customFormat="1" x14ac:dyDescent="0.2">
      <c r="A794" s="299"/>
      <c r="B794" s="49" t="s">
        <v>67</v>
      </c>
      <c r="C794" s="58" t="s">
        <v>395</v>
      </c>
      <c r="D794" s="13" t="s">
        <v>399</v>
      </c>
      <c r="E794" s="306"/>
      <c r="F794" s="162">
        <v>1872</v>
      </c>
      <c r="G794" s="303"/>
      <c r="H794" s="162">
        <f t="shared" si="54"/>
        <v>0.16559829059829059</v>
      </c>
      <c r="I794" s="40">
        <v>0</v>
      </c>
      <c r="J794" s="63">
        <f t="shared" si="55"/>
        <v>310</v>
      </c>
      <c r="K794" s="39">
        <f t="shared" si="53"/>
        <v>310</v>
      </c>
      <c r="L794" s="38">
        <v>0</v>
      </c>
    </row>
    <row r="795" spans="1:12" customFormat="1" x14ac:dyDescent="0.2">
      <c r="A795" s="299"/>
      <c r="B795" s="83" t="s">
        <v>67</v>
      </c>
      <c r="C795" s="84" t="s">
        <v>395</v>
      </c>
      <c r="D795" s="89" t="s">
        <v>552</v>
      </c>
      <c r="E795" s="306"/>
      <c r="F795" s="162">
        <v>575</v>
      </c>
      <c r="G795" s="303"/>
      <c r="H795" s="162">
        <f>I795/F795</f>
        <v>0.43478260869565216</v>
      </c>
      <c r="I795" s="40">
        <v>250</v>
      </c>
      <c r="J795" s="63">
        <f t="shared" si="55"/>
        <v>0</v>
      </c>
      <c r="K795" s="39">
        <f t="shared" si="53"/>
        <v>250</v>
      </c>
      <c r="L795" s="38">
        <v>1</v>
      </c>
    </row>
    <row r="796" spans="1:12" customFormat="1" x14ac:dyDescent="0.2">
      <c r="A796" s="299"/>
      <c r="B796" s="83" t="s">
        <v>67</v>
      </c>
      <c r="C796" s="84" t="s">
        <v>395</v>
      </c>
      <c r="D796" s="89" t="s">
        <v>553</v>
      </c>
      <c r="E796" s="306"/>
      <c r="F796" s="162">
        <v>11559</v>
      </c>
      <c r="G796" s="303"/>
      <c r="H796" s="162">
        <f>I796/F796</f>
        <v>0.36594861147158059</v>
      </c>
      <c r="I796" s="40">
        <v>4230</v>
      </c>
      <c r="J796" s="63">
        <f t="shared" si="55"/>
        <v>0</v>
      </c>
      <c r="K796" s="39">
        <f t="shared" si="53"/>
        <v>4230</v>
      </c>
      <c r="L796" s="38">
        <v>12</v>
      </c>
    </row>
    <row r="797" spans="1:12" customFormat="1" x14ac:dyDescent="0.2">
      <c r="A797" s="299"/>
      <c r="B797" s="83" t="s">
        <v>67</v>
      </c>
      <c r="C797" s="84" t="s">
        <v>395</v>
      </c>
      <c r="D797" s="89" t="s">
        <v>554</v>
      </c>
      <c r="E797" s="306"/>
      <c r="F797" s="162">
        <v>5267</v>
      </c>
      <c r="G797" s="303"/>
      <c r="H797" s="162">
        <f>I797/F797</f>
        <v>0.47465350294285169</v>
      </c>
      <c r="I797" s="40">
        <v>2500</v>
      </c>
      <c r="J797" s="63">
        <f t="shared" si="55"/>
        <v>0</v>
      </c>
      <c r="K797" s="39">
        <f t="shared" si="53"/>
        <v>2500</v>
      </c>
      <c r="L797" s="38">
        <v>8</v>
      </c>
    </row>
    <row r="798" spans="1:12" customFormat="1" x14ac:dyDescent="0.2">
      <c r="A798" s="299"/>
      <c r="B798" s="83" t="s">
        <v>67</v>
      </c>
      <c r="C798" s="84" t="s">
        <v>395</v>
      </c>
      <c r="D798" s="89" t="s">
        <v>555</v>
      </c>
      <c r="E798" s="307"/>
      <c r="F798" s="162">
        <v>1259</v>
      </c>
      <c r="G798" s="304"/>
      <c r="H798" s="162">
        <f>I798/F798</f>
        <v>0.47656870532168388</v>
      </c>
      <c r="I798" s="40">
        <v>600</v>
      </c>
      <c r="J798" s="63">
        <f t="shared" si="55"/>
        <v>0</v>
      </c>
      <c r="K798" s="39">
        <f t="shared" si="53"/>
        <v>600</v>
      </c>
      <c r="L798" s="38">
        <v>2</v>
      </c>
    </row>
    <row r="799" spans="1:12" customFormat="1" x14ac:dyDescent="0.2">
      <c r="A799" s="299"/>
      <c r="B799" s="49" t="s">
        <v>67</v>
      </c>
      <c r="C799" s="58" t="s">
        <v>400</v>
      </c>
      <c r="D799" s="13" t="s">
        <v>378</v>
      </c>
      <c r="E799" s="305">
        <f>28149.549876+614.769269</f>
        <v>28764.319145000001</v>
      </c>
      <c r="F799" s="162">
        <v>1192</v>
      </c>
      <c r="G799" s="302">
        <f>SUM(K799:K808)/E799</f>
        <v>0.3235953527381849</v>
      </c>
      <c r="H799" s="162">
        <f t="shared" si="54"/>
        <v>0.26006711409395972</v>
      </c>
      <c r="I799" s="40"/>
      <c r="J799" s="63">
        <f t="shared" si="55"/>
        <v>310</v>
      </c>
      <c r="K799" s="39">
        <f t="shared" si="53"/>
        <v>310</v>
      </c>
      <c r="L799" s="38">
        <v>0</v>
      </c>
    </row>
    <row r="800" spans="1:12" customFormat="1" x14ac:dyDescent="0.2">
      <c r="A800" s="299"/>
      <c r="B800" s="49" t="s">
        <v>67</v>
      </c>
      <c r="C800" s="58" t="s">
        <v>400</v>
      </c>
      <c r="D800" s="13" t="s">
        <v>379</v>
      </c>
      <c r="E800" s="306"/>
      <c r="F800" s="162">
        <v>741</v>
      </c>
      <c r="G800" s="303"/>
      <c r="H800" s="162">
        <f t="shared" si="54"/>
        <v>0.4183535762483131</v>
      </c>
      <c r="I800" s="40">
        <v>0</v>
      </c>
      <c r="J800" s="63">
        <f t="shared" si="55"/>
        <v>310</v>
      </c>
      <c r="K800" s="39">
        <f t="shared" si="53"/>
        <v>310</v>
      </c>
      <c r="L800" s="38">
        <v>0</v>
      </c>
    </row>
    <row r="801" spans="1:12" customFormat="1" x14ac:dyDescent="0.2">
      <c r="A801" s="299"/>
      <c r="B801" s="49" t="s">
        <v>67</v>
      </c>
      <c r="C801" s="58" t="s">
        <v>400</v>
      </c>
      <c r="D801" s="13" t="s">
        <v>380</v>
      </c>
      <c r="E801" s="306"/>
      <c r="F801" s="162">
        <v>614</v>
      </c>
      <c r="G801" s="303"/>
      <c r="H801" s="162">
        <f t="shared" si="54"/>
        <v>0.50488599348534202</v>
      </c>
      <c r="I801" s="40">
        <v>0</v>
      </c>
      <c r="J801" s="63">
        <f t="shared" si="55"/>
        <v>310</v>
      </c>
      <c r="K801" s="39">
        <f t="shared" si="53"/>
        <v>310</v>
      </c>
      <c r="L801" s="38">
        <v>0</v>
      </c>
    </row>
    <row r="802" spans="1:12" customFormat="1" x14ac:dyDescent="0.2">
      <c r="A802" s="299"/>
      <c r="B802" s="49" t="s">
        <v>67</v>
      </c>
      <c r="C802" s="58" t="s">
        <v>400</v>
      </c>
      <c r="D802" s="13" t="s">
        <v>381</v>
      </c>
      <c r="E802" s="306"/>
      <c r="F802" s="162">
        <v>1241</v>
      </c>
      <c r="G802" s="303"/>
      <c r="H802" s="162">
        <f t="shared" si="54"/>
        <v>0.24979854955680902</v>
      </c>
      <c r="I802" s="40">
        <v>0</v>
      </c>
      <c r="J802" s="63">
        <f t="shared" si="55"/>
        <v>310</v>
      </c>
      <c r="K802" s="39">
        <f t="shared" si="53"/>
        <v>310</v>
      </c>
      <c r="L802" s="38">
        <v>0</v>
      </c>
    </row>
    <row r="803" spans="1:12" customFormat="1" x14ac:dyDescent="0.2">
      <c r="A803" s="299"/>
      <c r="B803" s="49" t="s">
        <v>67</v>
      </c>
      <c r="C803" s="58" t="s">
        <v>400</v>
      </c>
      <c r="D803" s="13" t="s">
        <v>382</v>
      </c>
      <c r="E803" s="306"/>
      <c r="F803" s="162">
        <v>1196</v>
      </c>
      <c r="G803" s="303"/>
      <c r="H803" s="162">
        <f t="shared" si="54"/>
        <v>0.25919732441471571</v>
      </c>
      <c r="I803" s="40">
        <v>0</v>
      </c>
      <c r="J803" s="63">
        <f t="shared" si="55"/>
        <v>310</v>
      </c>
      <c r="K803" s="39">
        <f t="shared" si="53"/>
        <v>310</v>
      </c>
      <c r="L803" s="38">
        <v>0</v>
      </c>
    </row>
    <row r="804" spans="1:12" customFormat="1" x14ac:dyDescent="0.2">
      <c r="A804" s="299"/>
      <c r="B804" s="83" t="s">
        <v>67</v>
      </c>
      <c r="C804" s="84" t="s">
        <v>400</v>
      </c>
      <c r="D804" s="89" t="s">
        <v>383</v>
      </c>
      <c r="E804" s="306"/>
      <c r="F804" s="162">
        <v>5363</v>
      </c>
      <c r="G804" s="303"/>
      <c r="H804" s="162">
        <f>I804/F804</f>
        <v>0.35577102368077568</v>
      </c>
      <c r="I804" s="40">
        <v>1908</v>
      </c>
      <c r="J804" s="63">
        <f t="shared" ref="J804:J828" si="56">K804-I804</f>
        <v>0</v>
      </c>
      <c r="K804" s="39">
        <f t="shared" si="53"/>
        <v>1908</v>
      </c>
      <c r="L804" s="38">
        <v>6</v>
      </c>
    </row>
    <row r="805" spans="1:12" customFormat="1" x14ac:dyDescent="0.2">
      <c r="A805" s="299"/>
      <c r="B805" s="83" t="s">
        <v>67</v>
      </c>
      <c r="C805" s="84" t="s">
        <v>400</v>
      </c>
      <c r="D805" s="89" t="s">
        <v>384</v>
      </c>
      <c r="E805" s="306"/>
      <c r="F805" s="162">
        <v>6124</v>
      </c>
      <c r="G805" s="303"/>
      <c r="H805" s="162">
        <f>I805/F805</f>
        <v>0.383736120182887</v>
      </c>
      <c r="I805" s="40">
        <v>2350</v>
      </c>
      <c r="J805" s="63">
        <f t="shared" si="56"/>
        <v>0</v>
      </c>
      <c r="K805" s="39">
        <f t="shared" si="53"/>
        <v>2350</v>
      </c>
      <c r="L805" s="38">
        <v>8</v>
      </c>
    </row>
    <row r="806" spans="1:12" customFormat="1" x14ac:dyDescent="0.2">
      <c r="A806" s="299"/>
      <c r="B806" s="83" t="s">
        <v>67</v>
      </c>
      <c r="C806" s="84" t="s">
        <v>400</v>
      </c>
      <c r="D806" s="89" t="s">
        <v>385</v>
      </c>
      <c r="E806" s="306"/>
      <c r="F806" s="162">
        <v>6171</v>
      </c>
      <c r="G806" s="303"/>
      <c r="H806" s="162">
        <f>I806/F806</f>
        <v>0.38081348241776047</v>
      </c>
      <c r="I806" s="40">
        <v>2350</v>
      </c>
      <c r="J806" s="63">
        <f t="shared" si="56"/>
        <v>0</v>
      </c>
      <c r="K806" s="39">
        <f t="shared" si="53"/>
        <v>2350</v>
      </c>
      <c r="L806" s="38">
        <v>8</v>
      </c>
    </row>
    <row r="807" spans="1:12" customFormat="1" x14ac:dyDescent="0.2">
      <c r="A807" s="299"/>
      <c r="B807" s="83" t="s">
        <v>67</v>
      </c>
      <c r="C807" s="84" t="s">
        <v>400</v>
      </c>
      <c r="D807" s="89" t="s">
        <v>386</v>
      </c>
      <c r="E807" s="306"/>
      <c r="F807" s="162">
        <v>1211</v>
      </c>
      <c r="G807" s="303"/>
      <c r="H807" s="162">
        <f>I807/F807</f>
        <v>0.495458298926507</v>
      </c>
      <c r="I807" s="40">
        <v>600</v>
      </c>
      <c r="J807" s="63">
        <f t="shared" si="56"/>
        <v>0</v>
      </c>
      <c r="K807" s="39">
        <f t="shared" si="53"/>
        <v>600</v>
      </c>
      <c r="L807" s="38">
        <v>2</v>
      </c>
    </row>
    <row r="808" spans="1:12" customFormat="1" x14ac:dyDescent="0.2">
      <c r="A808" s="299"/>
      <c r="B808" s="83" t="s">
        <v>67</v>
      </c>
      <c r="C808" s="84" t="s">
        <v>400</v>
      </c>
      <c r="D808" s="89" t="s">
        <v>387</v>
      </c>
      <c r="E808" s="307"/>
      <c r="F808" s="162">
        <v>1184</v>
      </c>
      <c r="G808" s="304"/>
      <c r="H808" s="162">
        <f>I808/F808</f>
        <v>0.46452702702702703</v>
      </c>
      <c r="I808" s="40">
        <v>550</v>
      </c>
      <c r="J808" s="63">
        <f t="shared" si="56"/>
        <v>0</v>
      </c>
      <c r="K808" s="39">
        <f t="shared" si="53"/>
        <v>550</v>
      </c>
      <c r="L808" s="38">
        <v>2</v>
      </c>
    </row>
    <row r="809" spans="1:12" customFormat="1" x14ac:dyDescent="0.2">
      <c r="A809" s="299"/>
      <c r="B809" s="49" t="s">
        <v>67</v>
      </c>
      <c r="C809" s="58" t="s">
        <v>401</v>
      </c>
      <c r="D809" s="13" t="s">
        <v>378</v>
      </c>
      <c r="E809" s="305">
        <v>15743.712804999999</v>
      </c>
      <c r="F809" s="162">
        <v>1142</v>
      </c>
      <c r="G809" s="302">
        <f>SUM(K809:K818)/E809</f>
        <v>0.35665030666824338</v>
      </c>
      <c r="H809" s="162">
        <f t="shared" si="54"/>
        <v>0.27145359019264448</v>
      </c>
      <c r="I809" s="40">
        <v>0</v>
      </c>
      <c r="J809" s="63">
        <f t="shared" si="56"/>
        <v>310</v>
      </c>
      <c r="K809" s="39">
        <f t="shared" si="53"/>
        <v>310</v>
      </c>
      <c r="L809" s="38">
        <v>0</v>
      </c>
    </row>
    <row r="810" spans="1:12" customFormat="1" x14ac:dyDescent="0.2">
      <c r="A810" s="299"/>
      <c r="B810" s="49" t="s">
        <v>67</v>
      </c>
      <c r="C810" s="58" t="s">
        <v>401</v>
      </c>
      <c r="D810" s="13" t="s">
        <v>379</v>
      </c>
      <c r="E810" s="306"/>
      <c r="F810" s="162">
        <v>1223</v>
      </c>
      <c r="G810" s="303"/>
      <c r="H810" s="162">
        <f t="shared" si="54"/>
        <v>0.25347506132461162</v>
      </c>
      <c r="I810" s="40">
        <v>0</v>
      </c>
      <c r="J810" s="63">
        <f t="shared" si="56"/>
        <v>310</v>
      </c>
      <c r="K810" s="39">
        <f t="shared" si="53"/>
        <v>310</v>
      </c>
      <c r="L810" s="38">
        <v>0</v>
      </c>
    </row>
    <row r="811" spans="1:12" customFormat="1" x14ac:dyDescent="0.2">
      <c r="A811" s="299"/>
      <c r="B811" s="49" t="s">
        <v>67</v>
      </c>
      <c r="C811" s="58" t="s">
        <v>401</v>
      </c>
      <c r="D811" s="13" t="s">
        <v>380</v>
      </c>
      <c r="E811" s="306"/>
      <c r="F811" s="162">
        <v>1656</v>
      </c>
      <c r="G811" s="303"/>
      <c r="H811" s="162">
        <f t="shared" si="54"/>
        <v>0.18719806763285024</v>
      </c>
      <c r="I811" s="40">
        <v>0</v>
      </c>
      <c r="J811" s="63">
        <f t="shared" si="56"/>
        <v>310</v>
      </c>
      <c r="K811" s="39">
        <f t="shared" si="53"/>
        <v>310</v>
      </c>
      <c r="L811" s="38">
        <v>0</v>
      </c>
    </row>
    <row r="812" spans="1:12" customFormat="1" x14ac:dyDescent="0.2">
      <c r="A812" s="299"/>
      <c r="B812" s="49" t="s">
        <v>67</v>
      </c>
      <c r="C812" s="58" t="s">
        <v>401</v>
      </c>
      <c r="D812" s="13" t="s">
        <v>381</v>
      </c>
      <c r="E812" s="306"/>
      <c r="F812" s="162">
        <v>1024</v>
      </c>
      <c r="G812" s="303"/>
      <c r="H812" s="162">
        <f t="shared" si="54"/>
        <v>0.302734375</v>
      </c>
      <c r="I812" s="40">
        <v>0</v>
      </c>
      <c r="J812" s="63">
        <f t="shared" si="56"/>
        <v>310</v>
      </c>
      <c r="K812" s="39">
        <f t="shared" si="53"/>
        <v>310</v>
      </c>
      <c r="L812" s="38">
        <v>0</v>
      </c>
    </row>
    <row r="813" spans="1:12" customFormat="1" x14ac:dyDescent="0.2">
      <c r="A813" s="299"/>
      <c r="B813" s="49" t="s">
        <v>67</v>
      </c>
      <c r="C813" s="58" t="s">
        <v>401</v>
      </c>
      <c r="D813" s="13" t="s">
        <v>382</v>
      </c>
      <c r="E813" s="306"/>
      <c r="F813" s="162">
        <v>855</v>
      </c>
      <c r="G813" s="303"/>
      <c r="H813" s="162">
        <f t="shared" si="54"/>
        <v>0.36257309941520466</v>
      </c>
      <c r="I813" s="40">
        <v>0</v>
      </c>
      <c r="J813" s="63">
        <f t="shared" si="56"/>
        <v>310</v>
      </c>
      <c r="K813" s="39">
        <f t="shared" si="53"/>
        <v>310</v>
      </c>
      <c r="L813" s="38">
        <v>0</v>
      </c>
    </row>
    <row r="814" spans="1:12" customFormat="1" x14ac:dyDescent="0.2">
      <c r="A814" s="299"/>
      <c r="B814" s="49" t="s">
        <v>67</v>
      </c>
      <c r="C814" s="58" t="s">
        <v>401</v>
      </c>
      <c r="D814" s="13" t="s">
        <v>383</v>
      </c>
      <c r="E814" s="306"/>
      <c r="F814" s="162">
        <v>860</v>
      </c>
      <c r="G814" s="303"/>
      <c r="H814" s="162">
        <f t="shared" si="54"/>
        <v>0.36046511627906974</v>
      </c>
      <c r="I814" s="40">
        <v>0</v>
      </c>
      <c r="J814" s="63">
        <f t="shared" si="56"/>
        <v>310</v>
      </c>
      <c r="K814" s="39">
        <f t="shared" si="53"/>
        <v>310</v>
      </c>
      <c r="L814" s="38">
        <v>0</v>
      </c>
    </row>
    <row r="815" spans="1:12" customFormat="1" x14ac:dyDescent="0.2">
      <c r="A815" s="299"/>
      <c r="B815" s="83" t="s">
        <v>67</v>
      </c>
      <c r="C815" s="84" t="s">
        <v>401</v>
      </c>
      <c r="D815" s="89" t="s">
        <v>384</v>
      </c>
      <c r="E815" s="306"/>
      <c r="F815" s="162">
        <v>4712</v>
      </c>
      <c r="G815" s="303"/>
      <c r="H815" s="162">
        <f>I815/F815</f>
        <v>0.43612054329371819</v>
      </c>
      <c r="I815" s="40">
        <v>2055</v>
      </c>
      <c r="J815" s="63">
        <f t="shared" si="56"/>
        <v>0</v>
      </c>
      <c r="K815" s="39">
        <f t="shared" si="53"/>
        <v>2055</v>
      </c>
      <c r="L815" s="38">
        <v>6</v>
      </c>
    </row>
    <row r="816" spans="1:12" customFormat="1" x14ac:dyDescent="0.2">
      <c r="A816" s="299"/>
      <c r="B816" s="83" t="s">
        <v>67</v>
      </c>
      <c r="C816" s="84" t="s">
        <v>401</v>
      </c>
      <c r="D816" s="89" t="s">
        <v>385</v>
      </c>
      <c r="E816" s="306"/>
      <c r="F816" s="162">
        <v>2545</v>
      </c>
      <c r="G816" s="303"/>
      <c r="H816" s="162">
        <f>I816/F816</f>
        <v>0.412573673870334</v>
      </c>
      <c r="I816" s="40">
        <v>1050</v>
      </c>
      <c r="J816" s="63">
        <f t="shared" si="56"/>
        <v>0</v>
      </c>
      <c r="K816" s="39">
        <f t="shared" si="53"/>
        <v>1050</v>
      </c>
      <c r="L816" s="38">
        <v>2</v>
      </c>
    </row>
    <row r="817" spans="1:23" customFormat="1" x14ac:dyDescent="0.2">
      <c r="A817" s="299"/>
      <c r="B817" s="83" t="s">
        <v>67</v>
      </c>
      <c r="C817" s="84" t="s">
        <v>401</v>
      </c>
      <c r="D817" s="89" t="s">
        <v>386</v>
      </c>
      <c r="E817" s="306"/>
      <c r="F817" s="162">
        <v>720</v>
      </c>
      <c r="G817" s="303"/>
      <c r="H817" s="162">
        <f>I817/F817</f>
        <v>0.41666666666666669</v>
      </c>
      <c r="I817" s="40">
        <v>300</v>
      </c>
      <c r="J817" s="63">
        <f t="shared" si="56"/>
        <v>0</v>
      </c>
      <c r="K817" s="39">
        <f t="shared" si="53"/>
        <v>300</v>
      </c>
      <c r="L817" s="38">
        <v>1</v>
      </c>
    </row>
    <row r="818" spans="1:23" customFormat="1" x14ac:dyDescent="0.2">
      <c r="A818" s="299"/>
      <c r="B818" s="83" t="s">
        <v>67</v>
      </c>
      <c r="C818" s="84" t="s">
        <v>401</v>
      </c>
      <c r="D818" s="89" t="s">
        <v>387</v>
      </c>
      <c r="E818" s="307"/>
      <c r="F818" s="162">
        <v>729</v>
      </c>
      <c r="G818" s="304"/>
      <c r="H818" s="162">
        <f>I818/F818</f>
        <v>0.48010973936899864</v>
      </c>
      <c r="I818" s="40">
        <v>350</v>
      </c>
      <c r="J818" s="63">
        <f t="shared" si="56"/>
        <v>0</v>
      </c>
      <c r="K818" s="39">
        <f t="shared" si="53"/>
        <v>350</v>
      </c>
      <c r="L818" s="38">
        <v>1</v>
      </c>
    </row>
    <row r="819" spans="1:23" customFormat="1" x14ac:dyDescent="0.2">
      <c r="A819" s="299"/>
      <c r="B819" s="49" t="s">
        <v>67</v>
      </c>
      <c r="C819" s="58" t="s">
        <v>402</v>
      </c>
      <c r="D819" s="13" t="s">
        <v>378</v>
      </c>
      <c r="E819" s="305">
        <v>22813.768387</v>
      </c>
      <c r="F819" s="162">
        <v>975</v>
      </c>
      <c r="G819" s="302">
        <f>SUM(K819:K828)/E819</f>
        <v>0.26869738905094986</v>
      </c>
      <c r="H819" s="162">
        <f t="shared" si="54"/>
        <v>0.31794871794871793</v>
      </c>
      <c r="I819" s="40">
        <v>0</v>
      </c>
      <c r="J819" s="63">
        <f t="shared" si="56"/>
        <v>310</v>
      </c>
      <c r="K819" s="39">
        <f t="shared" si="53"/>
        <v>310</v>
      </c>
      <c r="L819" s="38">
        <v>0</v>
      </c>
    </row>
    <row r="820" spans="1:23" customFormat="1" x14ac:dyDescent="0.2">
      <c r="A820" s="299"/>
      <c r="B820" s="49" t="s">
        <v>67</v>
      </c>
      <c r="C820" s="58" t="s">
        <v>402</v>
      </c>
      <c r="D820" s="13" t="s">
        <v>379</v>
      </c>
      <c r="E820" s="306"/>
      <c r="F820" s="162">
        <v>1120</v>
      </c>
      <c r="G820" s="303"/>
      <c r="H820" s="162">
        <f t="shared" si="54"/>
        <v>0.2767857142857143</v>
      </c>
      <c r="I820" s="40">
        <v>0</v>
      </c>
      <c r="J820" s="63">
        <f t="shared" si="56"/>
        <v>310</v>
      </c>
      <c r="K820" s="39">
        <f t="shared" si="53"/>
        <v>310</v>
      </c>
      <c r="L820" s="38">
        <v>0</v>
      </c>
    </row>
    <row r="821" spans="1:23" customFormat="1" x14ac:dyDescent="0.2">
      <c r="A821" s="299"/>
      <c r="B821" s="49" t="s">
        <v>67</v>
      </c>
      <c r="C821" s="58" t="s">
        <v>402</v>
      </c>
      <c r="D821" s="13" t="s">
        <v>380</v>
      </c>
      <c r="E821" s="306"/>
      <c r="F821" s="162">
        <v>649</v>
      </c>
      <c r="G821" s="303"/>
      <c r="H821" s="162">
        <f t="shared" si="54"/>
        <v>0.4776579352850539</v>
      </c>
      <c r="I821" s="40">
        <v>0</v>
      </c>
      <c r="J821" s="63">
        <f t="shared" si="56"/>
        <v>310</v>
      </c>
      <c r="K821" s="39">
        <f t="shared" si="53"/>
        <v>310</v>
      </c>
      <c r="L821" s="38">
        <v>0</v>
      </c>
    </row>
    <row r="822" spans="1:23" customFormat="1" x14ac:dyDescent="0.2">
      <c r="A822" s="299"/>
      <c r="B822" s="49" t="s">
        <v>67</v>
      </c>
      <c r="C822" s="58" t="s">
        <v>402</v>
      </c>
      <c r="D822" s="13" t="s">
        <v>381</v>
      </c>
      <c r="E822" s="306"/>
      <c r="F822" s="162">
        <v>884</v>
      </c>
      <c r="G822" s="303"/>
      <c r="H822" s="162">
        <f t="shared" si="54"/>
        <v>0.35067873303167418</v>
      </c>
      <c r="I822" s="40">
        <v>0</v>
      </c>
      <c r="J822" s="63">
        <f t="shared" si="56"/>
        <v>310</v>
      </c>
      <c r="K822" s="39">
        <f t="shared" si="53"/>
        <v>310</v>
      </c>
      <c r="L822" s="38">
        <v>0</v>
      </c>
    </row>
    <row r="823" spans="1:23" customFormat="1" x14ac:dyDescent="0.2">
      <c r="A823" s="299"/>
      <c r="B823" s="49" t="s">
        <v>67</v>
      </c>
      <c r="C823" s="58" t="s">
        <v>402</v>
      </c>
      <c r="D823" s="13" t="s">
        <v>382</v>
      </c>
      <c r="E823" s="306"/>
      <c r="F823" s="162">
        <v>751</v>
      </c>
      <c r="G823" s="303"/>
      <c r="H823" s="162">
        <f t="shared" si="54"/>
        <v>0.41278295605858856</v>
      </c>
      <c r="I823" s="40">
        <v>0</v>
      </c>
      <c r="J823" s="63">
        <f t="shared" si="56"/>
        <v>310</v>
      </c>
      <c r="K823" s="39">
        <f t="shared" si="53"/>
        <v>310</v>
      </c>
      <c r="L823" s="38">
        <v>0</v>
      </c>
    </row>
    <row r="824" spans="1:23" customFormat="1" x14ac:dyDescent="0.2">
      <c r="A824" s="299"/>
      <c r="B824" s="49" t="s">
        <v>67</v>
      </c>
      <c r="C824" s="58" t="s">
        <v>402</v>
      </c>
      <c r="D824" s="13" t="s">
        <v>383</v>
      </c>
      <c r="E824" s="306"/>
      <c r="F824" s="162">
        <v>1282</v>
      </c>
      <c r="G824" s="303"/>
      <c r="H824" s="162">
        <f t="shared" si="54"/>
        <v>0.24180967238689546</v>
      </c>
      <c r="I824" s="40">
        <v>0</v>
      </c>
      <c r="J824" s="63">
        <f t="shared" si="56"/>
        <v>310</v>
      </c>
      <c r="K824" s="39">
        <f t="shared" si="53"/>
        <v>310</v>
      </c>
      <c r="L824" s="38">
        <v>0</v>
      </c>
    </row>
    <row r="825" spans="1:23" customFormat="1" x14ac:dyDescent="0.2">
      <c r="A825" s="299"/>
      <c r="B825" s="49" t="s">
        <v>67</v>
      </c>
      <c r="C825" s="58" t="s">
        <v>402</v>
      </c>
      <c r="D825" s="13" t="s">
        <v>384</v>
      </c>
      <c r="E825" s="306"/>
      <c r="F825" s="162">
        <v>560</v>
      </c>
      <c r="G825" s="303"/>
      <c r="H825" s="162">
        <f t="shared" si="54"/>
        <v>0.5535714285714286</v>
      </c>
      <c r="I825" s="40">
        <v>0</v>
      </c>
      <c r="J825" s="63">
        <f t="shared" si="56"/>
        <v>310</v>
      </c>
      <c r="K825" s="39">
        <f t="shared" si="53"/>
        <v>310</v>
      </c>
      <c r="L825" s="38">
        <v>0</v>
      </c>
    </row>
    <row r="826" spans="1:23" customFormat="1" x14ac:dyDescent="0.2">
      <c r="A826" s="299"/>
      <c r="B826" s="49" t="s">
        <v>67</v>
      </c>
      <c r="C826" s="58" t="s">
        <v>402</v>
      </c>
      <c r="D826" s="13" t="s">
        <v>385</v>
      </c>
      <c r="E826" s="306"/>
      <c r="F826" s="162">
        <v>706</v>
      </c>
      <c r="G826" s="303"/>
      <c r="H826" s="162">
        <f t="shared" si="54"/>
        <v>0.43909348441926344</v>
      </c>
      <c r="I826" s="40">
        <v>0</v>
      </c>
      <c r="J826" s="63">
        <f t="shared" si="56"/>
        <v>310</v>
      </c>
      <c r="K826" s="39">
        <f t="shared" si="53"/>
        <v>310</v>
      </c>
      <c r="L826" s="38">
        <v>0</v>
      </c>
    </row>
    <row r="827" spans="1:23" customFormat="1" x14ac:dyDescent="0.2">
      <c r="A827" s="299"/>
      <c r="B827" s="83" t="s">
        <v>67</v>
      </c>
      <c r="C827" s="84" t="s">
        <v>402</v>
      </c>
      <c r="D827" s="89" t="s">
        <v>386</v>
      </c>
      <c r="E827" s="306"/>
      <c r="F827" s="162">
        <v>7309</v>
      </c>
      <c r="G827" s="303"/>
      <c r="H827" s="162">
        <f>I827/F827</f>
        <v>0.26953071555616365</v>
      </c>
      <c r="I827" s="40">
        <v>1970</v>
      </c>
      <c r="J827" s="63">
        <f t="shared" si="56"/>
        <v>0</v>
      </c>
      <c r="K827" s="39">
        <f t="shared" si="53"/>
        <v>1970</v>
      </c>
      <c r="L827" s="38">
        <v>4</v>
      </c>
    </row>
    <row r="828" spans="1:23" customFormat="1" x14ac:dyDescent="0.2">
      <c r="A828" s="299"/>
      <c r="B828" s="83" t="s">
        <v>67</v>
      </c>
      <c r="C828" s="84" t="s">
        <v>402</v>
      </c>
      <c r="D828" s="89" t="s">
        <v>387</v>
      </c>
      <c r="E828" s="307"/>
      <c r="F828" s="162">
        <v>7147</v>
      </c>
      <c r="G828" s="304"/>
      <c r="H828" s="162">
        <f>I828/F828</f>
        <v>0.23506366307541626</v>
      </c>
      <c r="I828" s="40">
        <v>1680</v>
      </c>
      <c r="J828" s="63">
        <f t="shared" si="56"/>
        <v>0</v>
      </c>
      <c r="K828" s="39">
        <f t="shared" si="53"/>
        <v>1680</v>
      </c>
      <c r="L828" s="38">
        <v>3</v>
      </c>
    </row>
    <row r="829" spans="1:23" s="23" customFormat="1" ht="18" customHeight="1" x14ac:dyDescent="0.2">
      <c r="A829" s="298" t="s">
        <v>40</v>
      </c>
      <c r="B829" s="298"/>
      <c r="C829" s="18"/>
      <c r="D829" s="61"/>
      <c r="E829" s="279">
        <f>SUM(E133:E828)</f>
        <v>2995253.7558230013</v>
      </c>
      <c r="F829" s="19">
        <f>SUM(F133:F828)</f>
        <v>1108148</v>
      </c>
      <c r="G829" s="194"/>
      <c r="H829" s="19">
        <f>SUM(H133:H828)</f>
        <v>259.47134426147431</v>
      </c>
      <c r="I829" s="19">
        <f>SUM(I133:I828)</f>
        <v>616133</v>
      </c>
      <c r="J829" s="19">
        <f>SUM(J133:J828)</f>
        <v>360171.0105202538</v>
      </c>
      <c r="K829" s="19">
        <f>SUM(K133:K828)</f>
        <v>975978.0105202538</v>
      </c>
      <c r="L829" s="19">
        <f>SUM(L133:L828)</f>
        <v>1884</v>
      </c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1"/>
    </row>
    <row r="830" spans="1:23" x14ac:dyDescent="0.2">
      <c r="A830" s="299" t="s">
        <v>7</v>
      </c>
      <c r="B830" s="15" t="s">
        <v>7</v>
      </c>
      <c r="C830" s="13" t="s">
        <v>84</v>
      </c>
      <c r="D830" s="62" t="s">
        <v>334</v>
      </c>
      <c r="E830" s="205">
        <v>24846</v>
      </c>
      <c r="F830" s="10">
        <v>17959</v>
      </c>
      <c r="G830" s="196"/>
      <c r="H830" s="46"/>
      <c r="I830" s="40">
        <v>14140</v>
      </c>
      <c r="J830" s="100"/>
      <c r="K830" s="39">
        <f t="shared" ref="K830:K842" si="57">F830*H830</f>
        <v>0</v>
      </c>
      <c r="L830" s="38">
        <v>0</v>
      </c>
      <c r="M830" s="16"/>
      <c r="N830" s="16"/>
      <c r="O830" s="16"/>
      <c r="P830" s="16"/>
      <c r="Q830" s="16" t="s">
        <v>419</v>
      </c>
      <c r="R830" s="16"/>
      <c r="S830" s="16"/>
      <c r="T830" s="16"/>
      <c r="U830" s="16"/>
      <c r="V830" s="16"/>
      <c r="W830" s="8"/>
    </row>
    <row r="831" spans="1:23" x14ac:dyDescent="0.2">
      <c r="A831" s="299"/>
      <c r="B831" s="49" t="s">
        <v>7</v>
      </c>
      <c r="C831" s="13" t="s">
        <v>85</v>
      </c>
      <c r="D831" s="62" t="s">
        <v>335</v>
      </c>
      <c r="E831" s="205">
        <v>38067</v>
      </c>
      <c r="F831" s="10">
        <v>35680</v>
      </c>
      <c r="G831" s="196"/>
      <c r="H831" s="46"/>
      <c r="I831" s="40">
        <v>3160</v>
      </c>
      <c r="J831" s="100"/>
      <c r="K831" s="39">
        <f t="shared" si="57"/>
        <v>0</v>
      </c>
      <c r="L831" s="38">
        <v>0</v>
      </c>
      <c r="M831" s="16"/>
      <c r="N831" s="16"/>
      <c r="O831" s="16"/>
      <c r="P831" s="16"/>
      <c r="Q831" s="16" t="s">
        <v>420</v>
      </c>
      <c r="R831" s="16"/>
      <c r="S831" s="16"/>
      <c r="T831" s="16"/>
      <c r="U831" s="16"/>
      <c r="V831" s="16"/>
      <c r="W831" s="8"/>
    </row>
    <row r="832" spans="1:23" x14ac:dyDescent="0.2">
      <c r="A832" s="299"/>
      <c r="B832" s="49" t="s">
        <v>7</v>
      </c>
      <c r="C832" s="13" t="s">
        <v>51</v>
      </c>
      <c r="D832" s="62" t="s">
        <v>336</v>
      </c>
      <c r="E832" s="205">
        <v>22941</v>
      </c>
      <c r="F832" s="14">
        <v>15613</v>
      </c>
      <c r="G832" s="196"/>
      <c r="H832" s="46"/>
      <c r="I832" s="40">
        <v>8722</v>
      </c>
      <c r="J832" s="100"/>
      <c r="K832" s="39">
        <f t="shared" si="57"/>
        <v>0</v>
      </c>
      <c r="L832" s="38">
        <v>0</v>
      </c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8"/>
    </row>
    <row r="833" spans="1:24" x14ac:dyDescent="0.2">
      <c r="A833" s="299"/>
      <c r="B833" s="49" t="s">
        <v>8</v>
      </c>
      <c r="C833" s="13" t="s">
        <v>656</v>
      </c>
      <c r="D833" s="62" t="s">
        <v>622</v>
      </c>
      <c r="E833" s="205">
        <v>77690</v>
      </c>
      <c r="F833" s="14">
        <v>77689.987401999999</v>
      </c>
      <c r="G833" s="196"/>
      <c r="H833" s="46"/>
      <c r="I833" s="40">
        <v>0</v>
      </c>
      <c r="J833" s="100"/>
      <c r="K833" s="39">
        <f t="shared" si="57"/>
        <v>0</v>
      </c>
      <c r="L833" s="38">
        <v>0</v>
      </c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8"/>
    </row>
    <row r="834" spans="1:24" x14ac:dyDescent="0.2">
      <c r="A834" s="299"/>
      <c r="B834" s="49" t="s">
        <v>7</v>
      </c>
      <c r="C834" s="13" t="s">
        <v>659</v>
      </c>
      <c r="D834" s="62" t="s">
        <v>660</v>
      </c>
      <c r="E834" s="205">
        <v>113830</v>
      </c>
      <c r="F834" s="14">
        <v>113829.85853500001</v>
      </c>
      <c r="G834" s="196"/>
      <c r="H834" s="46"/>
      <c r="I834" s="40">
        <v>0</v>
      </c>
      <c r="J834" s="100"/>
      <c r="K834" s="39">
        <f t="shared" si="57"/>
        <v>0</v>
      </c>
      <c r="L834" s="38">
        <v>0</v>
      </c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8"/>
    </row>
    <row r="835" spans="1:24" x14ac:dyDescent="0.2">
      <c r="A835" s="299"/>
      <c r="B835" s="49" t="s">
        <v>8</v>
      </c>
      <c r="C835" s="13" t="s">
        <v>658</v>
      </c>
      <c r="D835" s="62" t="s">
        <v>614</v>
      </c>
      <c r="E835" s="205">
        <v>16625</v>
      </c>
      <c r="F835" s="14">
        <v>16625.175562</v>
      </c>
      <c r="G835" s="196"/>
      <c r="H835" s="46"/>
      <c r="I835" s="40">
        <v>0</v>
      </c>
      <c r="J835" s="100"/>
      <c r="K835" s="39">
        <f t="shared" si="57"/>
        <v>0</v>
      </c>
      <c r="L835" s="38">
        <v>0</v>
      </c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8"/>
    </row>
    <row r="836" spans="1:24" x14ac:dyDescent="0.2">
      <c r="A836" s="299"/>
      <c r="B836" s="49" t="s">
        <v>8</v>
      </c>
      <c r="C836" s="13" t="s">
        <v>657</v>
      </c>
      <c r="D836" s="62" t="s">
        <v>587</v>
      </c>
      <c r="E836" s="205">
        <v>2107</v>
      </c>
      <c r="F836" s="14">
        <v>2107.1797980000001</v>
      </c>
      <c r="G836" s="196"/>
      <c r="H836" s="46"/>
      <c r="I836" s="40">
        <v>0</v>
      </c>
      <c r="J836" s="100"/>
      <c r="K836" s="39">
        <f t="shared" si="57"/>
        <v>0</v>
      </c>
      <c r="L836" s="38">
        <v>0</v>
      </c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8"/>
    </row>
    <row r="837" spans="1:24" s="275" customFormat="1" x14ac:dyDescent="0.2">
      <c r="A837" s="299"/>
      <c r="B837" s="266" t="s">
        <v>8</v>
      </c>
      <c r="C837" s="271" t="s">
        <v>894</v>
      </c>
      <c r="D837" s="272" t="s">
        <v>587</v>
      </c>
      <c r="E837" s="205">
        <v>79053.779571000006</v>
      </c>
      <c r="F837" s="14">
        <v>79054</v>
      </c>
      <c r="G837" s="196"/>
      <c r="H837" s="46"/>
      <c r="I837" s="40">
        <v>0</v>
      </c>
      <c r="J837" s="100"/>
      <c r="K837" s="39">
        <f t="shared" ref="K837" si="58">F837*H837</f>
        <v>0</v>
      </c>
      <c r="L837" s="38">
        <v>0</v>
      </c>
      <c r="M837" s="273"/>
      <c r="N837" s="273"/>
      <c r="O837" s="273"/>
      <c r="P837" s="273"/>
      <c r="Q837" s="273"/>
      <c r="R837" s="273"/>
      <c r="S837" s="273"/>
      <c r="T837" s="273"/>
      <c r="U837" s="273"/>
      <c r="V837" s="273"/>
      <c r="W837" s="274"/>
    </row>
    <row r="838" spans="1:24" x14ac:dyDescent="0.2">
      <c r="A838" s="299"/>
      <c r="B838" s="49" t="s">
        <v>8</v>
      </c>
      <c r="C838" s="13" t="s">
        <v>661</v>
      </c>
      <c r="D838" s="62" t="s">
        <v>662</v>
      </c>
      <c r="E838" s="205">
        <v>75182</v>
      </c>
      <c r="F838" s="14">
        <v>75182.258790000007</v>
      </c>
      <c r="G838" s="196"/>
      <c r="H838" s="46"/>
      <c r="I838" s="40">
        <v>0</v>
      </c>
      <c r="J838" s="100"/>
      <c r="K838" s="39">
        <f t="shared" si="57"/>
        <v>0</v>
      </c>
      <c r="L838" s="38">
        <v>0</v>
      </c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8"/>
    </row>
    <row r="839" spans="1:24" x14ac:dyDescent="0.2">
      <c r="A839" s="299"/>
      <c r="B839" s="49" t="s">
        <v>8</v>
      </c>
      <c r="C839" s="13" t="s">
        <v>663</v>
      </c>
      <c r="D839" s="62" t="s">
        <v>664</v>
      </c>
      <c r="E839" s="205">
        <v>90008</v>
      </c>
      <c r="F839" s="14">
        <v>90007.928818</v>
      </c>
      <c r="G839" s="196"/>
      <c r="H839" s="46"/>
      <c r="I839" s="40">
        <v>0</v>
      </c>
      <c r="J839" s="100"/>
      <c r="K839" s="39">
        <f t="shared" si="57"/>
        <v>0</v>
      </c>
      <c r="L839" s="38">
        <v>0</v>
      </c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8"/>
    </row>
    <row r="840" spans="1:24" x14ac:dyDescent="0.2">
      <c r="A840" s="299"/>
      <c r="B840" s="49" t="s">
        <v>8</v>
      </c>
      <c r="C840" s="13" t="s">
        <v>665</v>
      </c>
      <c r="D840" s="62" t="s">
        <v>666</v>
      </c>
      <c r="E840" s="205">
        <v>49038</v>
      </c>
      <c r="F840" s="14">
        <v>49038.171417999998</v>
      </c>
      <c r="G840" s="196"/>
      <c r="H840" s="46"/>
      <c r="I840" s="40">
        <v>0</v>
      </c>
      <c r="J840" s="100"/>
      <c r="K840" s="39">
        <f t="shared" si="57"/>
        <v>0</v>
      </c>
      <c r="L840" s="38">
        <v>0</v>
      </c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8"/>
    </row>
    <row r="841" spans="1:24" x14ac:dyDescent="0.2">
      <c r="A841" s="299"/>
      <c r="B841" s="49" t="s">
        <v>8</v>
      </c>
      <c r="C841" s="13" t="s">
        <v>667</v>
      </c>
      <c r="D841" s="62" t="s">
        <v>664</v>
      </c>
      <c r="E841" s="205">
        <v>57908</v>
      </c>
      <c r="F841" s="14">
        <v>57907.877182999997</v>
      </c>
      <c r="G841" s="196"/>
      <c r="H841" s="46"/>
      <c r="I841" s="40">
        <v>3300</v>
      </c>
      <c r="J841" s="100"/>
      <c r="K841" s="39">
        <f t="shared" si="57"/>
        <v>0</v>
      </c>
      <c r="L841" s="38">
        <v>0</v>
      </c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8"/>
    </row>
    <row r="842" spans="1:24" x14ac:dyDescent="0.2">
      <c r="A842" s="299"/>
      <c r="B842" s="49" t="s">
        <v>8</v>
      </c>
      <c r="C842" s="13" t="s">
        <v>668</v>
      </c>
      <c r="D842" s="62" t="s">
        <v>669</v>
      </c>
      <c r="E842" s="205">
        <v>50242</v>
      </c>
      <c r="F842" s="14">
        <v>50242.497305999997</v>
      </c>
      <c r="G842" s="196"/>
      <c r="H842" s="46"/>
      <c r="I842" s="40">
        <v>0</v>
      </c>
      <c r="J842" s="100"/>
      <c r="K842" s="39">
        <f t="shared" si="57"/>
        <v>0</v>
      </c>
      <c r="L842" s="38">
        <v>0</v>
      </c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8"/>
    </row>
    <row r="843" spans="1:24" s="277" customFormat="1" ht="18" customHeight="1" x14ac:dyDescent="0.2">
      <c r="A843" s="298" t="s">
        <v>41</v>
      </c>
      <c r="B843" s="298"/>
      <c r="C843" s="280"/>
      <c r="D843" s="280"/>
      <c r="E843" s="279">
        <f>SUM(E830:E842)</f>
        <v>697537.77957100002</v>
      </c>
      <c r="F843" s="279">
        <f>SUM(F830:F842)</f>
        <v>680936.93481200002</v>
      </c>
      <c r="G843" s="282"/>
      <c r="H843" s="279"/>
      <c r="I843" s="279">
        <f>SUM(I830:I842)</f>
        <v>29322</v>
      </c>
      <c r="J843" s="279"/>
      <c r="K843" s="279"/>
      <c r="L843" s="279"/>
      <c r="M843" s="286"/>
      <c r="N843" s="286"/>
      <c r="O843" s="286"/>
      <c r="P843" s="286"/>
      <c r="Q843" s="286"/>
      <c r="R843" s="286"/>
      <c r="S843" s="286"/>
      <c r="T843" s="286"/>
      <c r="U843" s="286"/>
      <c r="V843" s="286"/>
      <c r="X843" s="278"/>
    </row>
    <row r="844" spans="1:24" ht="18" customHeight="1" x14ac:dyDescent="0.2">
      <c r="A844" s="299" t="s">
        <v>8</v>
      </c>
      <c r="B844" s="15" t="s">
        <v>8</v>
      </c>
      <c r="C844" s="13" t="s">
        <v>39</v>
      </c>
      <c r="D844" s="59" t="s">
        <v>751</v>
      </c>
      <c r="E844" s="205">
        <v>2012772.4663559999</v>
      </c>
      <c r="F844" s="10"/>
      <c r="G844" s="196"/>
      <c r="H844" s="46"/>
      <c r="I844" s="40">
        <v>4500</v>
      </c>
      <c r="J844" s="10"/>
      <c r="K844" s="39">
        <f>E844*G844</f>
        <v>0</v>
      </c>
      <c r="L844" s="38">
        <v>7</v>
      </c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8"/>
    </row>
    <row r="845" spans="1:24" ht="18" customHeight="1" x14ac:dyDescent="0.2">
      <c r="A845" s="299"/>
      <c r="B845" s="15" t="s">
        <v>8</v>
      </c>
      <c r="C845" s="13" t="s">
        <v>753</v>
      </c>
      <c r="D845" s="59" t="s">
        <v>751</v>
      </c>
      <c r="E845" s="205">
        <v>35738523.846302003</v>
      </c>
      <c r="F845" s="10"/>
      <c r="G845" s="196"/>
      <c r="H845" s="46"/>
      <c r="I845" s="40">
        <v>7161</v>
      </c>
      <c r="J845" s="10"/>
      <c r="K845" s="39">
        <f>E845*G845</f>
        <v>0</v>
      </c>
      <c r="L845" s="38">
        <v>19</v>
      </c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8"/>
    </row>
    <row r="846" spans="1:24" ht="18" customHeight="1" x14ac:dyDescent="0.2">
      <c r="A846" s="299"/>
      <c r="B846" s="289" t="s">
        <v>8</v>
      </c>
      <c r="C846" s="89" t="s">
        <v>752</v>
      </c>
      <c r="D846" s="85" t="s">
        <v>751</v>
      </c>
      <c r="E846" s="290">
        <v>70023503.349999994</v>
      </c>
      <c r="F846" s="291"/>
      <c r="G846" s="295"/>
      <c r="H846" s="296"/>
      <c r="I846" s="40">
        <v>16709</v>
      </c>
      <c r="J846" s="10"/>
      <c r="K846" s="39">
        <f>E846*G846</f>
        <v>0</v>
      </c>
      <c r="L846" s="38">
        <v>48</v>
      </c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8"/>
    </row>
    <row r="847" spans="1:24" s="277" customFormat="1" ht="18" customHeight="1" x14ac:dyDescent="0.2">
      <c r="A847" s="300" t="s">
        <v>42</v>
      </c>
      <c r="B847" s="301"/>
      <c r="C847" s="280"/>
      <c r="D847" s="280"/>
      <c r="E847" s="279">
        <f>SUM(E844:E846)</f>
        <v>107774799.66265801</v>
      </c>
      <c r="F847" s="287">
        <f>E845/E847</f>
        <v>0.33160371402374078</v>
      </c>
      <c r="G847" s="282"/>
      <c r="H847" s="279"/>
      <c r="I847" s="279">
        <f>SUM(I844:I846)</f>
        <v>28370</v>
      </c>
      <c r="J847" s="279"/>
      <c r="K847" s="279"/>
      <c r="L847" s="288">
        <f>SUM(L844:L846)</f>
        <v>74</v>
      </c>
      <c r="M847" s="286"/>
      <c r="N847" s="286"/>
      <c r="O847" s="286"/>
      <c r="P847" s="286"/>
      <c r="Q847" s="286"/>
      <c r="R847" s="286"/>
      <c r="S847" s="286"/>
      <c r="T847" s="286"/>
      <c r="U847" s="286"/>
      <c r="V847" s="286"/>
      <c r="X847" s="278"/>
    </row>
    <row r="848" spans="1:24" s="52" customFormat="1" x14ac:dyDescent="0.2">
      <c r="A848" s="299" t="s">
        <v>9</v>
      </c>
      <c r="B848" s="103" t="s">
        <v>339</v>
      </c>
      <c r="C848" s="53" t="s">
        <v>38</v>
      </c>
      <c r="D848" s="55" t="s">
        <v>338</v>
      </c>
      <c r="E848" s="206">
        <v>37883.574092000003</v>
      </c>
      <c r="F848" s="104"/>
      <c r="G848" s="197">
        <f>I848/E848</f>
        <v>0.2111733169782781</v>
      </c>
      <c r="H848" s="105"/>
      <c r="I848" s="106">
        <v>8000</v>
      </c>
      <c r="J848" s="99"/>
      <c r="K848" s="39">
        <f t="shared" ref="K848:K869" si="59">E848*G848</f>
        <v>8000</v>
      </c>
      <c r="L848" s="38">
        <v>0</v>
      </c>
      <c r="M848" s="50"/>
      <c r="N848" s="50"/>
      <c r="O848" s="50"/>
      <c r="P848" s="50" t="s">
        <v>835</v>
      </c>
      <c r="Q848" s="50" t="s">
        <v>414</v>
      </c>
      <c r="R848" s="50" t="s">
        <v>834</v>
      </c>
      <c r="S848" s="160">
        <v>30501</v>
      </c>
      <c r="T848" s="161">
        <v>30513</v>
      </c>
      <c r="U848" s="50"/>
      <c r="V848" s="50"/>
      <c r="W848" s="51"/>
    </row>
    <row r="849" spans="1:23" s="114" customFormat="1" ht="12.75" customHeight="1" x14ac:dyDescent="0.2">
      <c r="A849" s="299"/>
      <c r="B849" s="103" t="s">
        <v>339</v>
      </c>
      <c r="C849" s="53" t="s">
        <v>877</v>
      </c>
      <c r="D849" s="55" t="s">
        <v>337</v>
      </c>
      <c r="E849" s="206">
        <f>95830.243888+3022.500609</f>
        <v>98852.744496999992</v>
      </c>
      <c r="F849" s="104"/>
      <c r="G849" s="197">
        <f>31728/E849</f>
        <v>0.32096225715779586</v>
      </c>
      <c r="H849" s="105"/>
      <c r="I849" s="106">
        <v>31728</v>
      </c>
      <c r="J849" s="101"/>
      <c r="K849" s="110">
        <f t="shared" si="59"/>
        <v>31728</v>
      </c>
      <c r="L849" s="111">
        <v>0</v>
      </c>
      <c r="M849" s="112"/>
      <c r="N849" s="112"/>
      <c r="O849" s="112"/>
      <c r="P849" s="112"/>
      <c r="Q849" s="209">
        <v>29307</v>
      </c>
      <c r="R849" s="112"/>
      <c r="S849" s="112"/>
      <c r="T849" s="112"/>
      <c r="U849" s="112"/>
      <c r="V849" s="112"/>
      <c r="W849" s="113"/>
    </row>
    <row r="850" spans="1:23" x14ac:dyDescent="0.2">
      <c r="A850" s="299"/>
      <c r="B850" s="103" t="s">
        <v>339</v>
      </c>
      <c r="C850" s="53" t="s">
        <v>86</v>
      </c>
      <c r="D850" s="53" t="s">
        <v>340</v>
      </c>
      <c r="E850" s="207">
        <v>70325.482640999995</v>
      </c>
      <c r="F850" s="107"/>
      <c r="G850" s="198">
        <f>14200/E850</f>
        <v>0.20191827296072265</v>
      </c>
      <c r="H850" s="108"/>
      <c r="I850" s="109">
        <v>13083</v>
      </c>
      <c r="J850" s="101">
        <v>1117</v>
      </c>
      <c r="K850" s="39">
        <f t="shared" si="59"/>
        <v>14200</v>
      </c>
      <c r="L850" s="38">
        <v>0</v>
      </c>
      <c r="M850" s="16"/>
      <c r="N850" s="16"/>
      <c r="O850" s="16"/>
      <c r="P850" s="50" t="s">
        <v>837</v>
      </c>
      <c r="Q850" s="159">
        <v>27922</v>
      </c>
      <c r="R850" s="50" t="s">
        <v>836</v>
      </c>
      <c r="S850" s="159">
        <v>28842</v>
      </c>
      <c r="T850" s="16"/>
      <c r="U850" s="16"/>
      <c r="V850" s="16"/>
      <c r="W850" s="8"/>
    </row>
    <row r="851" spans="1:23" x14ac:dyDescent="0.2">
      <c r="A851" s="299"/>
      <c r="B851" s="103" t="s">
        <v>343</v>
      </c>
      <c r="C851" s="53" t="s">
        <v>87</v>
      </c>
      <c r="D851" s="53" t="s">
        <v>348</v>
      </c>
      <c r="E851" s="207">
        <v>3375</v>
      </c>
      <c r="F851" s="107"/>
      <c r="G851" s="198">
        <f>675/E851</f>
        <v>0.2</v>
      </c>
      <c r="H851" s="108"/>
      <c r="I851" s="109">
        <v>675</v>
      </c>
      <c r="J851" s="101"/>
      <c r="K851" s="39">
        <f t="shared" si="59"/>
        <v>675</v>
      </c>
      <c r="L851" s="38">
        <v>0</v>
      </c>
      <c r="M851" s="16"/>
      <c r="N851" s="16"/>
      <c r="O851" s="159">
        <v>33761</v>
      </c>
      <c r="P851" s="50" t="s">
        <v>839</v>
      </c>
      <c r="Q851" s="16" t="s">
        <v>415</v>
      </c>
      <c r="R851" s="50" t="s">
        <v>838</v>
      </c>
      <c r="S851" s="159">
        <v>33912</v>
      </c>
      <c r="T851" s="16"/>
      <c r="U851" s="16"/>
      <c r="V851" s="16"/>
      <c r="W851" s="8"/>
    </row>
    <row r="852" spans="1:23" x14ac:dyDescent="0.2">
      <c r="A852" s="299"/>
      <c r="B852" s="103" t="s">
        <v>339</v>
      </c>
      <c r="C852" s="53" t="s">
        <v>88</v>
      </c>
      <c r="D852" s="53" t="s">
        <v>347</v>
      </c>
      <c r="E852" s="207">
        <v>112525.122909</v>
      </c>
      <c r="F852" s="107"/>
      <c r="G852" s="198">
        <f>21166/E852</f>
        <v>0.18810021666998863</v>
      </c>
      <c r="H852" s="108"/>
      <c r="I852" s="109">
        <v>16586</v>
      </c>
      <c r="J852" s="101">
        <v>5080</v>
      </c>
      <c r="K852" s="39">
        <f t="shared" si="59"/>
        <v>21166</v>
      </c>
      <c r="L852" s="38">
        <v>10</v>
      </c>
      <c r="M852" s="16"/>
      <c r="N852" s="16"/>
      <c r="O852" s="16"/>
      <c r="P852" s="16"/>
      <c r="Q852" s="16" t="s">
        <v>416</v>
      </c>
      <c r="R852" s="16"/>
      <c r="S852" s="16"/>
      <c r="T852" s="16"/>
      <c r="U852" s="16"/>
      <c r="V852" s="16"/>
      <c r="W852" s="8"/>
    </row>
    <row r="853" spans="1:23" x14ac:dyDescent="0.2">
      <c r="A853" s="299"/>
      <c r="B853" s="103" t="s">
        <v>342</v>
      </c>
      <c r="C853" s="53" t="s">
        <v>89</v>
      </c>
      <c r="D853" s="53" t="s">
        <v>346</v>
      </c>
      <c r="E853" s="207">
        <v>174242.05206099999</v>
      </c>
      <c r="F853" s="107"/>
      <c r="G853" s="198">
        <f>17713/E853</f>
        <v>0.10165743453135467</v>
      </c>
      <c r="H853" s="108"/>
      <c r="I853" s="109">
        <v>6879</v>
      </c>
      <c r="J853" s="101">
        <v>10834</v>
      </c>
      <c r="K853" s="39">
        <f t="shared" si="59"/>
        <v>17713</v>
      </c>
      <c r="L853" s="38">
        <v>0</v>
      </c>
      <c r="M853" s="16"/>
      <c r="N853" s="16"/>
      <c r="O853" s="159">
        <v>38898</v>
      </c>
      <c r="P853" s="50" t="s">
        <v>840</v>
      </c>
      <c r="Q853" s="16" t="s">
        <v>417</v>
      </c>
      <c r="R853" s="50" t="s">
        <v>841</v>
      </c>
      <c r="S853" s="16"/>
      <c r="T853" s="16"/>
      <c r="U853" s="16"/>
      <c r="V853" s="16"/>
      <c r="W853" s="8"/>
    </row>
    <row r="854" spans="1:23" x14ac:dyDescent="0.2">
      <c r="A854" s="299"/>
      <c r="B854" s="103" t="s">
        <v>342</v>
      </c>
      <c r="C854" s="53" t="s">
        <v>37</v>
      </c>
      <c r="D854" s="53" t="s">
        <v>345</v>
      </c>
      <c r="E854" s="207">
        <v>92622.325962999996</v>
      </c>
      <c r="F854" s="107"/>
      <c r="G854" s="198">
        <f>11725/E854</f>
        <v>0.12658934957737733</v>
      </c>
      <c r="H854" s="108"/>
      <c r="I854" s="109">
        <v>2822</v>
      </c>
      <c r="J854" s="101">
        <v>8903</v>
      </c>
      <c r="K854" s="39">
        <f t="shared" si="59"/>
        <v>11724.999999999998</v>
      </c>
      <c r="L854" s="38">
        <v>0</v>
      </c>
      <c r="M854" s="16"/>
      <c r="N854" s="16"/>
      <c r="O854" s="159">
        <v>37925</v>
      </c>
      <c r="P854" s="50" t="s">
        <v>843</v>
      </c>
      <c r="Q854" s="16" t="s">
        <v>418</v>
      </c>
      <c r="R854" s="50" t="s">
        <v>842</v>
      </c>
      <c r="S854" s="16"/>
      <c r="T854" s="16"/>
      <c r="U854" s="16"/>
      <c r="V854" s="16"/>
      <c r="W854" s="8"/>
    </row>
    <row r="855" spans="1:23" x14ac:dyDescent="0.2">
      <c r="A855" s="299"/>
      <c r="B855" s="103" t="s">
        <v>342</v>
      </c>
      <c r="C855" s="53" t="s">
        <v>90</v>
      </c>
      <c r="D855" s="53" t="s">
        <v>344</v>
      </c>
      <c r="E855" s="207">
        <v>66922.583006999994</v>
      </c>
      <c r="F855" s="107"/>
      <c r="G855" s="198">
        <f>8231/E855</f>
        <v>0.12299286175399193</v>
      </c>
      <c r="H855" s="108"/>
      <c r="I855" s="109">
        <v>4939</v>
      </c>
      <c r="J855" s="101">
        <v>3292</v>
      </c>
      <c r="K855" s="39">
        <f t="shared" si="59"/>
        <v>8231</v>
      </c>
      <c r="L855" s="38">
        <v>0</v>
      </c>
      <c r="M855" s="16"/>
      <c r="N855" s="16"/>
      <c r="O855" s="16"/>
      <c r="P855" s="16"/>
      <c r="Q855" s="159">
        <v>28324</v>
      </c>
      <c r="R855" s="16"/>
      <c r="S855" s="16"/>
      <c r="T855" s="16"/>
      <c r="U855" s="16"/>
      <c r="V855" s="16"/>
      <c r="W855" s="8"/>
    </row>
    <row r="856" spans="1:23" x14ac:dyDescent="0.2">
      <c r="A856" s="299"/>
      <c r="B856" s="103" t="s">
        <v>339</v>
      </c>
      <c r="C856" s="53" t="s">
        <v>91</v>
      </c>
      <c r="D856" s="53" t="s">
        <v>341</v>
      </c>
      <c r="E856" s="207">
        <v>72261.895246</v>
      </c>
      <c r="F856" s="107"/>
      <c r="G856" s="198">
        <f>11282/E856</f>
        <v>0.15612654444770471</v>
      </c>
      <c r="H856" s="108"/>
      <c r="I856" s="109">
        <v>11190</v>
      </c>
      <c r="J856" s="101">
        <f t="shared" ref="J856:J863" si="60">K856-I856</f>
        <v>92</v>
      </c>
      <c r="K856" s="39">
        <f t="shared" si="59"/>
        <v>11282</v>
      </c>
      <c r="L856" s="38">
        <v>13</v>
      </c>
      <c r="M856" s="16"/>
      <c r="N856" s="16"/>
      <c r="O856" s="16"/>
      <c r="P856" s="50" t="s">
        <v>793</v>
      </c>
      <c r="Q856" s="159">
        <v>28272</v>
      </c>
      <c r="R856" s="16"/>
      <c r="S856" s="16"/>
      <c r="T856" s="16"/>
      <c r="U856" s="16"/>
      <c r="V856" s="16"/>
      <c r="W856" s="8"/>
    </row>
    <row r="857" spans="1:23" x14ac:dyDescent="0.2">
      <c r="A857" s="299"/>
      <c r="B857" s="103" t="s">
        <v>342</v>
      </c>
      <c r="C857" s="53" t="s">
        <v>787</v>
      </c>
      <c r="D857" s="53" t="s">
        <v>792</v>
      </c>
      <c r="E857" s="207">
        <v>7384.28604</v>
      </c>
      <c r="F857" s="107"/>
      <c r="G857" s="198">
        <f t="shared" ref="G857:G862" si="61">I857/E857</f>
        <v>6.4461208222643548E-2</v>
      </c>
      <c r="H857" s="108"/>
      <c r="I857" s="109">
        <v>476</v>
      </c>
      <c r="J857" s="101">
        <f t="shared" si="60"/>
        <v>0</v>
      </c>
      <c r="K857" s="39">
        <f t="shared" si="59"/>
        <v>475.99999999999994</v>
      </c>
      <c r="L857" s="38">
        <v>0</v>
      </c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8"/>
    </row>
    <row r="858" spans="1:23" x14ac:dyDescent="0.2">
      <c r="A858" s="299"/>
      <c r="B858" s="103" t="s">
        <v>8</v>
      </c>
      <c r="C858" s="53" t="s">
        <v>788</v>
      </c>
      <c r="D858" s="53" t="s">
        <v>584</v>
      </c>
      <c r="E858" s="207">
        <v>1309.420331</v>
      </c>
      <c r="F858" s="107"/>
      <c r="G858" s="198">
        <f t="shared" si="61"/>
        <v>0.45821802655361399</v>
      </c>
      <c r="H858" s="108"/>
      <c r="I858" s="109">
        <v>600</v>
      </c>
      <c r="J858" s="101">
        <f t="shared" si="60"/>
        <v>0</v>
      </c>
      <c r="K858" s="39">
        <f t="shared" si="59"/>
        <v>600</v>
      </c>
      <c r="L858" s="38">
        <v>0</v>
      </c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8"/>
    </row>
    <row r="859" spans="1:23" x14ac:dyDescent="0.2">
      <c r="A859" s="299"/>
      <c r="B859" s="103" t="s">
        <v>206</v>
      </c>
      <c r="C859" s="53" t="s">
        <v>789</v>
      </c>
      <c r="D859" s="53" t="s">
        <v>584</v>
      </c>
      <c r="E859" s="207">
        <v>63645.651539999999</v>
      </c>
      <c r="F859" s="107"/>
      <c r="G859" s="198">
        <f t="shared" si="61"/>
        <v>8.4923319491875537E-2</v>
      </c>
      <c r="H859" s="108"/>
      <c r="I859" s="109">
        <v>5405</v>
      </c>
      <c r="J859" s="101">
        <f t="shared" si="60"/>
        <v>0</v>
      </c>
      <c r="K859" s="39">
        <f t="shared" si="59"/>
        <v>5405</v>
      </c>
      <c r="L859" s="38">
        <v>0</v>
      </c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8"/>
    </row>
    <row r="860" spans="1:23" x14ac:dyDescent="0.2">
      <c r="A860" s="299"/>
      <c r="B860" s="103" t="s">
        <v>206</v>
      </c>
      <c r="C860" s="53" t="s">
        <v>790</v>
      </c>
      <c r="D860" s="53" t="s">
        <v>584</v>
      </c>
      <c r="E860" s="207">
        <v>14317.392363000001</v>
      </c>
      <c r="F860" s="107"/>
      <c r="G860" s="198">
        <f t="shared" si="61"/>
        <v>0.15847857923232636</v>
      </c>
      <c r="H860" s="108"/>
      <c r="I860" s="109">
        <f>430+705+525+360+249</f>
        <v>2269</v>
      </c>
      <c r="J860" s="101">
        <f t="shared" si="60"/>
        <v>0</v>
      </c>
      <c r="K860" s="39">
        <f t="shared" si="59"/>
        <v>2269</v>
      </c>
      <c r="L860" s="38">
        <v>0</v>
      </c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8"/>
    </row>
    <row r="861" spans="1:23" x14ac:dyDescent="0.2">
      <c r="A861" s="299"/>
      <c r="B861" s="103" t="s">
        <v>342</v>
      </c>
      <c r="C861" s="53" t="s">
        <v>861</v>
      </c>
      <c r="D861" s="53" t="s">
        <v>574</v>
      </c>
      <c r="E861" s="207">
        <v>5463.2477500000005</v>
      </c>
      <c r="F861" s="107"/>
      <c r="G861" s="198">
        <f t="shared" si="61"/>
        <v>5.1251565517965017E-2</v>
      </c>
      <c r="H861" s="108"/>
      <c r="I861" s="109">
        <v>280</v>
      </c>
      <c r="J861" s="101">
        <f t="shared" si="60"/>
        <v>0</v>
      </c>
      <c r="K861" s="39">
        <f t="shared" si="59"/>
        <v>280</v>
      </c>
      <c r="L861" s="38">
        <v>0</v>
      </c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8"/>
    </row>
    <row r="862" spans="1:23" x14ac:dyDescent="0.2">
      <c r="A862" s="299"/>
      <c r="B862" s="103" t="s">
        <v>206</v>
      </c>
      <c r="C862" s="53" t="s">
        <v>791</v>
      </c>
      <c r="D862" s="53" t="s">
        <v>584</v>
      </c>
      <c r="E862" s="207">
        <v>7647.7149810000001</v>
      </c>
      <c r="F862" s="107"/>
      <c r="G862" s="198">
        <f t="shared" si="61"/>
        <v>7.322448618852366E-2</v>
      </c>
      <c r="H862" s="108"/>
      <c r="I862" s="109">
        <v>560</v>
      </c>
      <c r="J862" s="101">
        <f t="shared" si="60"/>
        <v>0</v>
      </c>
      <c r="K862" s="39">
        <f t="shared" si="59"/>
        <v>560</v>
      </c>
      <c r="L862" s="38">
        <v>0</v>
      </c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8"/>
    </row>
    <row r="863" spans="1:23" x14ac:dyDescent="0.2">
      <c r="A863" s="299"/>
      <c r="B863" s="103" t="s">
        <v>343</v>
      </c>
      <c r="C863" s="53" t="s">
        <v>780</v>
      </c>
      <c r="D863" s="53" t="s">
        <v>781</v>
      </c>
      <c r="E863" s="207">
        <v>43047.760322000002</v>
      </c>
      <c r="F863" s="107"/>
      <c r="G863" s="198">
        <f>I863/E863</f>
        <v>6.1489377849170787E-2</v>
      </c>
      <c r="H863" s="108"/>
      <c r="I863" s="109">
        <v>2646.98</v>
      </c>
      <c r="J863" s="101">
        <f t="shared" si="60"/>
        <v>0</v>
      </c>
      <c r="K863" s="39">
        <f t="shared" si="59"/>
        <v>2646.98</v>
      </c>
      <c r="L863" s="38">
        <v>0</v>
      </c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8"/>
    </row>
    <row r="864" spans="1:23" x14ac:dyDescent="0.2">
      <c r="A864" s="299"/>
      <c r="B864" s="103" t="s">
        <v>342</v>
      </c>
      <c r="C864" s="53" t="s">
        <v>573</v>
      </c>
      <c r="D864" s="53" t="s">
        <v>574</v>
      </c>
      <c r="E864" s="207">
        <v>33111.789563999999</v>
      </c>
      <c r="F864" s="107"/>
      <c r="G864" s="198">
        <f>3800/E864</f>
        <v>0.11476274916084449</v>
      </c>
      <c r="H864" s="108"/>
      <c r="I864" s="109">
        <v>0</v>
      </c>
      <c r="J864" s="101">
        <f t="shared" ref="J864:J873" si="62">K864-I864</f>
        <v>3800</v>
      </c>
      <c r="K864" s="39">
        <f t="shared" si="59"/>
        <v>3800</v>
      </c>
      <c r="L864" s="38">
        <v>0</v>
      </c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8"/>
    </row>
    <row r="865" spans="1:24" x14ac:dyDescent="0.2">
      <c r="A865" s="299"/>
      <c r="B865" s="103" t="s">
        <v>342</v>
      </c>
      <c r="C865" s="53" t="s">
        <v>575</v>
      </c>
      <c r="D865" s="53" t="s">
        <v>574</v>
      </c>
      <c r="E865" s="207">
        <v>19444.772452000001</v>
      </c>
      <c r="F865" s="107"/>
      <c r="G865" s="198">
        <f>3000/E865</f>
        <v>0.1542831116900745</v>
      </c>
      <c r="H865" s="108"/>
      <c r="I865" s="109">
        <v>0</v>
      </c>
      <c r="J865" s="101">
        <f t="shared" si="62"/>
        <v>3000</v>
      </c>
      <c r="K865" s="39">
        <f t="shared" si="59"/>
        <v>3000</v>
      </c>
      <c r="L865" s="38">
        <v>0</v>
      </c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8"/>
    </row>
    <row r="866" spans="1:24" x14ac:dyDescent="0.2">
      <c r="A866" s="299"/>
      <c r="B866" s="103" t="s">
        <v>343</v>
      </c>
      <c r="C866" s="53" t="s">
        <v>576</v>
      </c>
      <c r="D866" s="53" t="s">
        <v>574</v>
      </c>
      <c r="E866" s="207">
        <v>20017.477822000001</v>
      </c>
      <c r="F866" s="107"/>
      <c r="G866" s="198">
        <f>5300/E866</f>
        <v>0.26476862105849769</v>
      </c>
      <c r="H866" s="108"/>
      <c r="I866" s="109">
        <v>0</v>
      </c>
      <c r="J866" s="101">
        <f t="shared" si="62"/>
        <v>5300</v>
      </c>
      <c r="K866" s="39">
        <f t="shared" si="59"/>
        <v>5300</v>
      </c>
      <c r="L866" s="38">
        <v>0</v>
      </c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8"/>
    </row>
    <row r="867" spans="1:24" x14ac:dyDescent="0.2">
      <c r="A867" s="299"/>
      <c r="B867" s="103" t="s">
        <v>343</v>
      </c>
      <c r="C867" s="53" t="s">
        <v>577</v>
      </c>
      <c r="D867" s="53" t="s">
        <v>574</v>
      </c>
      <c r="E867" s="207">
        <v>73985.07071</v>
      </c>
      <c r="F867" s="107"/>
      <c r="G867" s="198">
        <f>3500/E867</f>
        <v>4.7306841318284117E-2</v>
      </c>
      <c r="H867" s="108"/>
      <c r="I867" s="109">
        <v>0</v>
      </c>
      <c r="J867" s="101">
        <f t="shared" si="62"/>
        <v>3500</v>
      </c>
      <c r="K867" s="39">
        <f t="shared" si="59"/>
        <v>3500</v>
      </c>
      <c r="L867" s="38">
        <v>0</v>
      </c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8"/>
    </row>
    <row r="868" spans="1:24" x14ac:dyDescent="0.2">
      <c r="A868" s="299"/>
      <c r="B868" s="103" t="s">
        <v>817</v>
      </c>
      <c r="C868" s="53" t="s">
        <v>578</v>
      </c>
      <c r="D868" s="53" t="s">
        <v>574</v>
      </c>
      <c r="E868" s="207">
        <v>10491</v>
      </c>
      <c r="F868" s="107"/>
      <c r="G868" s="198">
        <f>4000/E868</f>
        <v>0.38127919168811364</v>
      </c>
      <c r="H868" s="108"/>
      <c r="I868" s="109">
        <v>0</v>
      </c>
      <c r="J868" s="101">
        <f t="shared" si="62"/>
        <v>4000</v>
      </c>
      <c r="K868" s="39">
        <f t="shared" si="59"/>
        <v>4000</v>
      </c>
      <c r="L868" s="38">
        <v>0</v>
      </c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8"/>
    </row>
    <row r="869" spans="1:24" x14ac:dyDescent="0.2">
      <c r="A869" s="299"/>
      <c r="B869" s="103" t="s">
        <v>818</v>
      </c>
      <c r="C869" s="53" t="s">
        <v>579</v>
      </c>
      <c r="D869" s="53" t="s">
        <v>580</v>
      </c>
      <c r="E869" s="207">
        <v>57256</v>
      </c>
      <c r="F869" s="107"/>
      <c r="G869" s="198">
        <f>17000/E869</f>
        <v>0.29691211401425177</v>
      </c>
      <c r="H869" s="108"/>
      <c r="I869" s="109">
        <v>0</v>
      </c>
      <c r="J869" s="101">
        <f t="shared" si="62"/>
        <v>17000</v>
      </c>
      <c r="K869" s="39">
        <f t="shared" si="59"/>
        <v>17000</v>
      </c>
      <c r="L869" s="38">
        <v>0</v>
      </c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8"/>
    </row>
    <row r="870" spans="1:24" x14ac:dyDescent="0.2">
      <c r="A870" s="299"/>
      <c r="B870" s="103" t="s">
        <v>819</v>
      </c>
      <c r="C870" s="53" t="s">
        <v>581</v>
      </c>
      <c r="D870" s="53" t="s">
        <v>582</v>
      </c>
      <c r="E870" s="207">
        <v>76111</v>
      </c>
      <c r="F870" s="107"/>
      <c r="G870" s="198">
        <f>8000/E870</f>
        <v>0.10510964249582846</v>
      </c>
      <c r="H870" s="108"/>
      <c r="I870" s="109">
        <v>0</v>
      </c>
      <c r="J870" s="101">
        <f t="shared" si="62"/>
        <v>8000</v>
      </c>
      <c r="K870" s="39">
        <f>E870*G870</f>
        <v>8000</v>
      </c>
      <c r="L870" s="38">
        <v>0</v>
      </c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8"/>
    </row>
    <row r="871" spans="1:24" x14ac:dyDescent="0.2">
      <c r="A871" s="299"/>
      <c r="B871" s="103" t="s">
        <v>821</v>
      </c>
      <c r="C871" s="53" t="s">
        <v>583</v>
      </c>
      <c r="D871" s="53" t="s">
        <v>584</v>
      </c>
      <c r="E871" s="207">
        <v>49015</v>
      </c>
      <c r="F871" s="107"/>
      <c r="G871" s="198">
        <f>5850/E871</f>
        <v>0.11935121901458737</v>
      </c>
      <c r="H871" s="108"/>
      <c r="I871" s="109">
        <v>0</v>
      </c>
      <c r="J871" s="101">
        <f t="shared" si="62"/>
        <v>5850</v>
      </c>
      <c r="K871" s="39">
        <f>E871*G871</f>
        <v>5850</v>
      </c>
      <c r="L871" s="38">
        <v>0</v>
      </c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8"/>
    </row>
    <row r="872" spans="1:24" x14ac:dyDescent="0.2">
      <c r="A872" s="299"/>
      <c r="B872" s="103" t="s">
        <v>12</v>
      </c>
      <c r="C872" s="53" t="s">
        <v>586</v>
      </c>
      <c r="D872" s="53" t="s">
        <v>580</v>
      </c>
      <c r="E872" s="207">
        <v>48066</v>
      </c>
      <c r="F872" s="107"/>
      <c r="G872" s="198">
        <f>5000/E872</f>
        <v>0.10402363416968335</v>
      </c>
      <c r="H872" s="108"/>
      <c r="I872" s="109">
        <v>0</v>
      </c>
      <c r="J872" s="101">
        <f t="shared" si="62"/>
        <v>5000</v>
      </c>
      <c r="K872" s="39">
        <f>E872*G872</f>
        <v>5000</v>
      </c>
      <c r="L872" s="38">
        <v>0</v>
      </c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8"/>
    </row>
    <row r="873" spans="1:24" x14ac:dyDescent="0.2">
      <c r="A873" s="299"/>
      <c r="B873" s="103" t="s">
        <v>822</v>
      </c>
      <c r="C873" s="53" t="s">
        <v>585</v>
      </c>
      <c r="D873" s="53" t="s">
        <v>580</v>
      </c>
      <c r="E873" s="207">
        <v>33011</v>
      </c>
      <c r="F873" s="107"/>
      <c r="G873" s="198">
        <f>5000/E873</f>
        <v>0.1514646632940535</v>
      </c>
      <c r="H873" s="108"/>
      <c r="I873" s="109">
        <v>0</v>
      </c>
      <c r="J873" s="101">
        <f t="shared" si="62"/>
        <v>5000</v>
      </c>
      <c r="K873" s="39">
        <f>E873*G873</f>
        <v>5000</v>
      </c>
      <c r="L873" s="38">
        <v>0</v>
      </c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8"/>
    </row>
    <row r="874" spans="1:24" s="277" customFormat="1" ht="18" customHeight="1" x14ac:dyDescent="0.2">
      <c r="A874" s="298" t="s">
        <v>43</v>
      </c>
      <c r="B874" s="298"/>
      <c r="C874" s="280"/>
      <c r="D874" s="280"/>
      <c r="E874" s="279">
        <f>SUM(E848:E873)</f>
        <v>1292335.3642910002</v>
      </c>
      <c r="F874" s="279"/>
      <c r="G874" s="282"/>
      <c r="H874" s="279"/>
      <c r="I874" s="279">
        <f>SUM(I848:I873)</f>
        <v>108138.98</v>
      </c>
      <c r="J874" s="279">
        <f>SUM(J848:J873)</f>
        <v>89768</v>
      </c>
      <c r="K874" s="279">
        <f>SUM(K848:K873)</f>
        <v>197406.98</v>
      </c>
      <c r="L874" s="279">
        <f>SUM(L848:L873)</f>
        <v>23</v>
      </c>
      <c r="N874" s="286"/>
      <c r="O874" s="286"/>
      <c r="P874" s="286"/>
      <c r="Q874" s="286"/>
      <c r="R874" s="286"/>
      <c r="S874" s="286"/>
      <c r="T874" s="286"/>
      <c r="U874" s="286"/>
      <c r="V874" s="286"/>
      <c r="X874" s="278"/>
    </row>
    <row r="875" spans="1:24" ht="18" customHeight="1" x14ac:dyDescent="0.2">
      <c r="A875" s="299" t="s">
        <v>10</v>
      </c>
      <c r="B875" s="15" t="s">
        <v>823</v>
      </c>
      <c r="C875" s="13" t="s">
        <v>26</v>
      </c>
      <c r="D875" s="13" t="s">
        <v>670</v>
      </c>
      <c r="E875" s="205">
        <v>11916</v>
      </c>
      <c r="F875" s="10"/>
      <c r="G875" s="199">
        <v>0.86</v>
      </c>
      <c r="H875" s="46"/>
      <c r="I875" s="40">
        <v>0</v>
      </c>
      <c r="J875" s="100"/>
      <c r="K875" s="39">
        <f t="shared" ref="K875:K905" si="63">E875*G875</f>
        <v>10247.76</v>
      </c>
      <c r="L875" s="38">
        <v>0</v>
      </c>
      <c r="M875" s="8"/>
      <c r="N875" s="16"/>
      <c r="O875" s="16"/>
      <c r="P875" s="16"/>
      <c r="Q875" s="16"/>
      <c r="R875" s="16"/>
      <c r="S875" s="16"/>
      <c r="T875" s="16"/>
      <c r="U875" s="16"/>
      <c r="V875" s="16"/>
      <c r="W875" s="8"/>
    </row>
    <row r="876" spans="1:24" ht="18" customHeight="1" x14ac:dyDescent="0.2">
      <c r="A876" s="299"/>
      <c r="B876" s="15" t="s">
        <v>201</v>
      </c>
      <c r="C876" s="13" t="s">
        <v>27</v>
      </c>
      <c r="D876" s="13" t="s">
        <v>614</v>
      </c>
      <c r="E876" s="205">
        <v>11499</v>
      </c>
      <c r="F876" s="10"/>
      <c r="G876" s="199">
        <v>1</v>
      </c>
      <c r="H876" s="46"/>
      <c r="I876" s="40">
        <v>0</v>
      </c>
      <c r="J876" s="100"/>
      <c r="K876" s="39">
        <f t="shared" si="63"/>
        <v>11499</v>
      </c>
      <c r="L876" s="38">
        <v>0</v>
      </c>
      <c r="M876" s="8"/>
      <c r="N876" s="16"/>
      <c r="O876" s="16"/>
      <c r="P876" s="16"/>
      <c r="Q876" s="16"/>
      <c r="R876" s="16"/>
      <c r="S876" s="16"/>
      <c r="T876" s="16"/>
      <c r="U876" s="16"/>
      <c r="V876" s="16"/>
      <c r="W876" s="8"/>
    </row>
    <row r="877" spans="1:24" ht="18" customHeight="1" x14ac:dyDescent="0.2">
      <c r="A877" s="299"/>
      <c r="B877" s="15" t="s">
        <v>824</v>
      </c>
      <c r="C877" s="13" t="s">
        <v>672</v>
      </c>
      <c r="D877" s="13" t="s">
        <v>671</v>
      </c>
      <c r="E877" s="205">
        <v>17222.143349999998</v>
      </c>
      <c r="F877" s="10"/>
      <c r="G877" s="199">
        <v>0</v>
      </c>
      <c r="H877" s="46"/>
      <c r="I877" s="40">
        <v>0</v>
      </c>
      <c r="J877" s="100"/>
      <c r="K877" s="39">
        <f t="shared" si="63"/>
        <v>0</v>
      </c>
      <c r="L877" s="38">
        <v>0</v>
      </c>
      <c r="M877" s="8"/>
      <c r="N877" s="16"/>
      <c r="O877" s="16"/>
      <c r="P877" s="16"/>
      <c r="Q877" s="16"/>
      <c r="R877" s="16"/>
      <c r="S877" s="16"/>
      <c r="T877" s="16"/>
      <c r="U877" s="16"/>
      <c r="V877" s="16"/>
      <c r="W877" s="8"/>
    </row>
    <row r="878" spans="1:24" ht="18" customHeight="1" x14ac:dyDescent="0.2">
      <c r="A878" s="299"/>
      <c r="B878" s="15" t="s">
        <v>825</v>
      </c>
      <c r="C878" s="13" t="s">
        <v>673</v>
      </c>
      <c r="D878" s="13" t="s">
        <v>678</v>
      </c>
      <c r="E878" s="205">
        <v>7926.2064319999999</v>
      </c>
      <c r="F878" s="10"/>
      <c r="G878" s="199">
        <f>6000/E878</f>
        <v>0.75698255546014526</v>
      </c>
      <c r="H878" s="46"/>
      <c r="I878" s="40">
        <v>0</v>
      </c>
      <c r="J878" s="100"/>
      <c r="K878" s="39">
        <f t="shared" si="63"/>
        <v>6000</v>
      </c>
      <c r="L878" s="38">
        <v>0</v>
      </c>
      <c r="M878" s="8"/>
      <c r="N878" s="16"/>
      <c r="O878" s="16"/>
      <c r="P878" s="16"/>
      <c r="Q878" s="16"/>
      <c r="R878" s="16"/>
      <c r="S878" s="16"/>
      <c r="T878" s="16"/>
      <c r="U878" s="16"/>
      <c r="V878" s="16"/>
      <c r="W878" s="8"/>
    </row>
    <row r="879" spans="1:24" ht="18" customHeight="1" x14ac:dyDescent="0.2">
      <c r="A879" s="299"/>
      <c r="B879" s="15" t="s">
        <v>826</v>
      </c>
      <c r="C879" s="13" t="s">
        <v>674</v>
      </c>
      <c r="D879" s="13" t="s">
        <v>675</v>
      </c>
      <c r="E879" s="205">
        <v>2333.8091559999998</v>
      </c>
      <c r="F879" s="10"/>
      <c r="G879" s="199">
        <v>0</v>
      </c>
      <c r="H879" s="46"/>
      <c r="I879" s="40">
        <v>0</v>
      </c>
      <c r="J879" s="100"/>
      <c r="K879" s="39">
        <f t="shared" si="63"/>
        <v>0</v>
      </c>
      <c r="L879" s="38">
        <v>0</v>
      </c>
      <c r="M879" s="8"/>
      <c r="N879" s="16"/>
      <c r="O879" s="16"/>
      <c r="P879" s="16"/>
      <c r="Q879" s="16"/>
      <c r="R879" s="16"/>
      <c r="S879" s="16"/>
      <c r="T879" s="16"/>
      <c r="U879" s="16"/>
      <c r="V879" s="16"/>
      <c r="W879" s="8"/>
    </row>
    <row r="880" spans="1:24" ht="18" customHeight="1" x14ac:dyDescent="0.2">
      <c r="A880" s="299"/>
      <c r="B880" s="15" t="s">
        <v>8</v>
      </c>
      <c r="C880" s="13" t="s">
        <v>676</v>
      </c>
      <c r="D880" s="13" t="s">
        <v>677</v>
      </c>
      <c r="E880" s="205">
        <v>4571.7876569999999</v>
      </c>
      <c r="F880" s="10"/>
      <c r="G880" s="199">
        <v>0</v>
      </c>
      <c r="H880" s="46"/>
      <c r="I880" s="40">
        <v>0</v>
      </c>
      <c r="J880" s="100"/>
      <c r="K880" s="39">
        <f t="shared" si="63"/>
        <v>0</v>
      </c>
      <c r="L880" s="38">
        <v>0</v>
      </c>
      <c r="M880" s="8"/>
      <c r="N880" s="16"/>
      <c r="O880" s="16"/>
      <c r="P880" s="16"/>
      <c r="Q880" s="16"/>
      <c r="R880" s="16"/>
      <c r="S880" s="16"/>
      <c r="T880" s="16"/>
      <c r="U880" s="16"/>
      <c r="V880" s="16"/>
      <c r="W880" s="8"/>
    </row>
    <row r="881" spans="1:23" ht="18" customHeight="1" x14ac:dyDescent="0.2">
      <c r="A881" s="299"/>
      <c r="B881" s="15" t="s">
        <v>827</v>
      </c>
      <c r="C881" s="13" t="s">
        <v>679</v>
      </c>
      <c r="D881" s="13" t="s">
        <v>680</v>
      </c>
      <c r="E881" s="205">
        <v>3117.9295990000001</v>
      </c>
      <c r="F881" s="10"/>
      <c r="G881" s="199"/>
      <c r="H881" s="46"/>
      <c r="I881" s="40">
        <v>0</v>
      </c>
      <c r="J881" s="100"/>
      <c r="K881" s="39">
        <f t="shared" si="63"/>
        <v>0</v>
      </c>
      <c r="L881" s="38">
        <v>0</v>
      </c>
      <c r="M881" s="8"/>
      <c r="N881" s="16"/>
      <c r="O881" s="16"/>
      <c r="P881" s="16"/>
      <c r="Q881" s="16"/>
      <c r="R881" s="16"/>
      <c r="S881" s="16"/>
      <c r="T881" s="16"/>
      <c r="U881" s="16"/>
      <c r="V881" s="16"/>
      <c r="W881" s="8"/>
    </row>
    <row r="882" spans="1:23" ht="18" customHeight="1" x14ac:dyDescent="0.2">
      <c r="A882" s="299"/>
      <c r="B882" s="15" t="s">
        <v>828</v>
      </c>
      <c r="C882" s="13" t="s">
        <v>681</v>
      </c>
      <c r="D882" s="13" t="s">
        <v>682</v>
      </c>
      <c r="E882" s="205">
        <v>8328.3041599999997</v>
      </c>
      <c r="F882" s="10"/>
      <c r="G882" s="199">
        <v>0</v>
      </c>
      <c r="H882" s="46"/>
      <c r="I882" s="40">
        <v>0</v>
      </c>
      <c r="J882" s="100"/>
      <c r="K882" s="39">
        <f t="shared" si="63"/>
        <v>0</v>
      </c>
      <c r="L882" s="38">
        <v>0</v>
      </c>
      <c r="M882" s="8"/>
      <c r="N882" s="16"/>
      <c r="O882" s="16"/>
      <c r="P882" s="16"/>
      <c r="Q882" s="16"/>
      <c r="R882" s="16"/>
      <c r="S882" s="16"/>
      <c r="T882" s="16"/>
      <c r="U882" s="16"/>
      <c r="V882" s="16"/>
      <c r="W882" s="8"/>
    </row>
    <row r="883" spans="1:23" ht="18" customHeight="1" x14ac:dyDescent="0.2">
      <c r="A883" s="299"/>
      <c r="B883" s="15" t="s">
        <v>829</v>
      </c>
      <c r="C883" s="13" t="s">
        <v>683</v>
      </c>
      <c r="D883" s="13" t="s">
        <v>684</v>
      </c>
      <c r="E883" s="205">
        <v>35525.94</v>
      </c>
      <c r="F883" s="10"/>
      <c r="G883" s="199">
        <v>0.1</v>
      </c>
      <c r="H883" s="46"/>
      <c r="I883" s="40">
        <v>0</v>
      </c>
      <c r="J883" s="100"/>
      <c r="K883" s="39">
        <f t="shared" si="63"/>
        <v>3552.5940000000005</v>
      </c>
      <c r="L883" s="38">
        <v>0</v>
      </c>
      <c r="M883" s="8"/>
      <c r="N883" s="16"/>
      <c r="O883" s="16"/>
      <c r="P883" s="16"/>
      <c r="Q883" s="16"/>
      <c r="R883" s="16"/>
      <c r="S883" s="16"/>
      <c r="T883" s="16"/>
      <c r="U883" s="16"/>
      <c r="V883" s="16"/>
      <c r="W883" s="8"/>
    </row>
    <row r="884" spans="1:23" s="275" customFormat="1" ht="18" customHeight="1" x14ac:dyDescent="0.2">
      <c r="A884" s="299"/>
      <c r="B884" s="276" t="s">
        <v>12</v>
      </c>
      <c r="C884" s="271" t="s">
        <v>895</v>
      </c>
      <c r="D884" s="271" t="s">
        <v>580</v>
      </c>
      <c r="E884" s="205">
        <v>1418.332386</v>
      </c>
      <c r="F884" s="10"/>
      <c r="G884" s="199">
        <v>0.54</v>
      </c>
      <c r="H884" s="46"/>
      <c r="I884" s="40">
        <v>0</v>
      </c>
      <c r="J884" s="100"/>
      <c r="K884" s="39">
        <f t="shared" ref="K884" si="64">E884*G884</f>
        <v>765.89948844000003</v>
      </c>
      <c r="L884" s="38">
        <v>0</v>
      </c>
      <c r="M884" s="274"/>
      <c r="N884" s="273"/>
      <c r="O884" s="273"/>
      <c r="P884" s="273"/>
      <c r="Q884" s="273"/>
      <c r="R884" s="273"/>
      <c r="S884" s="273"/>
      <c r="T884" s="273"/>
      <c r="U884" s="273"/>
      <c r="V884" s="273"/>
      <c r="W884" s="274"/>
    </row>
    <row r="885" spans="1:23" ht="18" customHeight="1" x14ac:dyDescent="0.2">
      <c r="A885" s="299"/>
      <c r="B885" s="15" t="s">
        <v>830</v>
      </c>
      <c r="C885" s="13" t="s">
        <v>686</v>
      </c>
      <c r="D885" s="13" t="s">
        <v>671</v>
      </c>
      <c r="E885" s="205">
        <v>5449.5240009999998</v>
      </c>
      <c r="F885" s="10"/>
      <c r="G885" s="199">
        <v>0</v>
      </c>
      <c r="H885" s="46"/>
      <c r="I885" s="40">
        <v>0</v>
      </c>
      <c r="J885" s="100"/>
      <c r="K885" s="39">
        <f t="shared" si="63"/>
        <v>0</v>
      </c>
      <c r="L885" s="38">
        <v>0</v>
      </c>
      <c r="M885" s="8"/>
      <c r="N885" s="16"/>
      <c r="O885" s="16"/>
      <c r="P885" s="16"/>
      <c r="Q885" s="16"/>
      <c r="R885" s="16"/>
      <c r="S885" s="16"/>
      <c r="T885" s="16"/>
      <c r="U885" s="16"/>
      <c r="V885" s="16"/>
      <c r="W885" s="8"/>
    </row>
    <row r="886" spans="1:23" ht="18" customHeight="1" x14ac:dyDescent="0.2">
      <c r="A886" s="299"/>
      <c r="B886" s="15" t="s">
        <v>827</v>
      </c>
      <c r="C886" s="13" t="s">
        <v>687</v>
      </c>
      <c r="D886" s="13" t="s">
        <v>580</v>
      </c>
      <c r="E886" s="205">
        <v>1143.953769</v>
      </c>
      <c r="F886" s="10"/>
      <c r="G886" s="199">
        <v>0</v>
      </c>
      <c r="H886" s="46"/>
      <c r="I886" s="40">
        <v>0</v>
      </c>
      <c r="J886" s="100"/>
      <c r="K886" s="39">
        <f t="shared" si="63"/>
        <v>0</v>
      </c>
      <c r="L886" s="38">
        <v>0</v>
      </c>
      <c r="M886" s="8"/>
      <c r="N886" s="16"/>
      <c r="O886" s="16"/>
      <c r="P886" s="16"/>
      <c r="Q886" s="16"/>
      <c r="R886" s="16"/>
      <c r="S886" s="16"/>
      <c r="T886" s="16"/>
      <c r="U886" s="16"/>
      <c r="V886" s="16"/>
      <c r="W886" s="8"/>
    </row>
    <row r="887" spans="1:23" ht="18" customHeight="1" x14ac:dyDescent="0.2">
      <c r="A887" s="299"/>
      <c r="B887" s="15" t="s">
        <v>339</v>
      </c>
      <c r="C887" s="13" t="s">
        <v>688</v>
      </c>
      <c r="D887" s="13" t="s">
        <v>580</v>
      </c>
      <c r="E887" s="205">
        <v>13104.350832</v>
      </c>
      <c r="F887" s="10"/>
      <c r="G887" s="199">
        <v>0</v>
      </c>
      <c r="H887" s="46"/>
      <c r="I887" s="40">
        <v>0</v>
      </c>
      <c r="J887" s="100"/>
      <c r="K887" s="39">
        <f t="shared" si="63"/>
        <v>0</v>
      </c>
      <c r="L887" s="38">
        <v>0</v>
      </c>
      <c r="M887" s="8"/>
      <c r="N887" s="16"/>
      <c r="O887" s="16"/>
      <c r="P887" s="16"/>
      <c r="Q887" s="16"/>
      <c r="R887" s="16"/>
      <c r="S887" s="16"/>
      <c r="T887" s="16"/>
      <c r="U887" s="16"/>
      <c r="V887" s="16"/>
      <c r="W887" s="8"/>
    </row>
    <row r="888" spans="1:23" ht="18" customHeight="1" x14ac:dyDescent="0.2">
      <c r="A888" s="299"/>
      <c r="B888" s="15" t="s">
        <v>831</v>
      </c>
      <c r="C888" s="13" t="s">
        <v>689</v>
      </c>
      <c r="D888" s="13" t="s">
        <v>614</v>
      </c>
      <c r="E888" s="205">
        <v>60241.420352000001</v>
      </c>
      <c r="F888" s="10"/>
      <c r="G888" s="199">
        <v>0</v>
      </c>
      <c r="H888" s="46"/>
      <c r="I888" s="40">
        <v>0</v>
      </c>
      <c r="J888" s="100"/>
      <c r="K888" s="39">
        <f t="shared" si="63"/>
        <v>0</v>
      </c>
      <c r="L888" s="38">
        <v>0</v>
      </c>
      <c r="M888" s="8"/>
      <c r="N888" s="16"/>
      <c r="O888" s="16"/>
      <c r="P888" s="16"/>
      <c r="Q888" s="16"/>
      <c r="R888" s="16"/>
      <c r="S888" s="16"/>
      <c r="T888" s="16"/>
      <c r="U888" s="16"/>
      <c r="V888" s="16"/>
      <c r="W888" s="8"/>
    </row>
    <row r="889" spans="1:23" ht="18" customHeight="1" x14ac:dyDescent="0.2">
      <c r="A889" s="299"/>
      <c r="B889" s="15" t="s">
        <v>8</v>
      </c>
      <c r="C889" s="13" t="s">
        <v>690</v>
      </c>
      <c r="D889" s="13" t="s">
        <v>691</v>
      </c>
      <c r="E889" s="205">
        <v>59693</v>
      </c>
      <c r="F889" s="10"/>
      <c r="G889" s="199">
        <v>0</v>
      </c>
      <c r="H889" s="46"/>
      <c r="I889" s="40">
        <v>0</v>
      </c>
      <c r="J889" s="100"/>
      <c r="K889" s="39">
        <f t="shared" si="63"/>
        <v>0</v>
      </c>
      <c r="L889" s="38">
        <v>0</v>
      </c>
      <c r="M889" s="8"/>
      <c r="N889" s="16"/>
      <c r="O889" s="16"/>
      <c r="P889" s="16"/>
      <c r="Q889" s="16"/>
      <c r="R889" s="16"/>
      <c r="S889" s="16"/>
      <c r="T889" s="16"/>
      <c r="U889" s="16"/>
      <c r="V889" s="16"/>
      <c r="W889" s="8"/>
    </row>
    <row r="890" spans="1:23" ht="18" customHeight="1" x14ac:dyDescent="0.2">
      <c r="A890" s="299"/>
      <c r="B890" s="15" t="s">
        <v>8</v>
      </c>
      <c r="C890" s="13" t="s">
        <v>693</v>
      </c>
      <c r="D890" s="13" t="s">
        <v>685</v>
      </c>
      <c r="E890" s="205">
        <v>21502</v>
      </c>
      <c r="F890" s="10"/>
      <c r="G890" s="199">
        <v>0</v>
      </c>
      <c r="H890" s="46"/>
      <c r="I890" s="40">
        <v>0</v>
      </c>
      <c r="J890" s="100"/>
      <c r="K890" s="39">
        <f t="shared" si="63"/>
        <v>0</v>
      </c>
      <c r="L890" s="38">
        <v>0</v>
      </c>
      <c r="M890" s="8"/>
      <c r="N890" s="16"/>
      <c r="O890" s="16"/>
      <c r="P890" s="16"/>
      <c r="Q890" s="16"/>
      <c r="R890" s="16"/>
      <c r="S890" s="16"/>
      <c r="T890" s="16"/>
      <c r="U890" s="16"/>
      <c r="V890" s="16"/>
      <c r="W890" s="8"/>
    </row>
    <row r="891" spans="1:23" ht="18" customHeight="1" x14ac:dyDescent="0.2">
      <c r="A891" s="299"/>
      <c r="B891" s="289" t="s">
        <v>897</v>
      </c>
      <c r="C891" s="89" t="s">
        <v>898</v>
      </c>
      <c r="D891" s="89" t="s">
        <v>580</v>
      </c>
      <c r="E891" s="290">
        <v>29572</v>
      </c>
      <c r="F891" s="291"/>
      <c r="G891" s="199">
        <v>0.05</v>
      </c>
      <c r="H891" s="46"/>
      <c r="I891" s="40">
        <v>0</v>
      </c>
      <c r="J891" s="101">
        <f t="shared" ref="J891" si="65">K891-I891</f>
        <v>1478.6000000000001</v>
      </c>
      <c r="K891" s="39">
        <f t="shared" ref="K891" si="66">E891*G891</f>
        <v>1478.6000000000001</v>
      </c>
      <c r="L891" s="38">
        <v>0</v>
      </c>
      <c r="M891" s="8"/>
      <c r="N891" s="16"/>
      <c r="O891" s="16"/>
      <c r="P891" s="16"/>
      <c r="Q891" s="16"/>
      <c r="R891" s="16"/>
      <c r="S891" s="16"/>
      <c r="T891" s="16"/>
      <c r="U891" s="16"/>
      <c r="V891" s="16"/>
      <c r="W891" s="8"/>
    </row>
    <row r="892" spans="1:23" ht="18" customHeight="1" x14ac:dyDescent="0.2">
      <c r="A892" s="299"/>
      <c r="B892" s="15" t="s">
        <v>827</v>
      </c>
      <c r="C892" s="13" t="s">
        <v>692</v>
      </c>
      <c r="D892" s="13" t="s">
        <v>580</v>
      </c>
      <c r="E892" s="205">
        <v>5243</v>
      </c>
      <c r="F892" s="10"/>
      <c r="G892" s="199">
        <v>0</v>
      </c>
      <c r="H892" s="46"/>
      <c r="I892" s="40">
        <v>0</v>
      </c>
      <c r="J892" s="100"/>
      <c r="K892" s="39">
        <f t="shared" si="63"/>
        <v>0</v>
      </c>
      <c r="L892" s="38">
        <v>0</v>
      </c>
      <c r="M892" s="8"/>
      <c r="N892" s="16"/>
      <c r="O892" s="16"/>
      <c r="P892" s="16"/>
      <c r="Q892" s="16"/>
      <c r="R892" s="16"/>
      <c r="S892" s="16"/>
      <c r="T892" s="16"/>
      <c r="U892" s="16"/>
      <c r="V892" s="16"/>
      <c r="W892" s="8"/>
    </row>
    <row r="893" spans="1:23" ht="18" customHeight="1" x14ac:dyDescent="0.2">
      <c r="A893" s="299"/>
      <c r="B893" s="15" t="s">
        <v>832</v>
      </c>
      <c r="C893" s="13" t="s">
        <v>694</v>
      </c>
      <c r="D893" s="13" t="s">
        <v>580</v>
      </c>
      <c r="E893" s="205">
        <v>227330</v>
      </c>
      <c r="F893" s="10"/>
      <c r="G893" s="199">
        <v>0</v>
      </c>
      <c r="H893" s="46"/>
      <c r="I893" s="40">
        <v>0</v>
      </c>
      <c r="J893" s="100"/>
      <c r="K893" s="39">
        <f t="shared" si="63"/>
        <v>0</v>
      </c>
      <c r="L893" s="38">
        <v>0</v>
      </c>
      <c r="M893" s="8"/>
      <c r="N893" s="16"/>
      <c r="O893" s="16"/>
      <c r="P893" s="16"/>
      <c r="Q893" s="16"/>
      <c r="R893" s="16"/>
      <c r="S893" s="16"/>
      <c r="T893" s="16"/>
      <c r="U893" s="16"/>
      <c r="V893" s="16"/>
      <c r="W893" s="8"/>
    </row>
    <row r="894" spans="1:23" ht="18" customHeight="1" x14ac:dyDescent="0.2">
      <c r="A894" s="299"/>
      <c r="B894" s="15" t="s">
        <v>8</v>
      </c>
      <c r="C894" s="13" t="s">
        <v>695</v>
      </c>
      <c r="D894" s="13" t="s">
        <v>696</v>
      </c>
      <c r="E894" s="205">
        <v>673</v>
      </c>
      <c r="F894" s="10"/>
      <c r="G894" s="199">
        <v>0</v>
      </c>
      <c r="H894" s="46"/>
      <c r="I894" s="40">
        <v>0</v>
      </c>
      <c r="J894" s="100"/>
      <c r="K894" s="39">
        <f t="shared" si="63"/>
        <v>0</v>
      </c>
      <c r="L894" s="38">
        <v>0</v>
      </c>
      <c r="M894" s="8"/>
      <c r="N894" s="16"/>
      <c r="O894" s="16"/>
      <c r="P894" s="16"/>
      <c r="Q894" s="16"/>
      <c r="R894" s="16"/>
      <c r="S894" s="16"/>
      <c r="T894" s="16"/>
      <c r="U894" s="16"/>
      <c r="V894" s="16"/>
      <c r="W894" s="8"/>
    </row>
    <row r="895" spans="1:23" ht="18" customHeight="1" x14ac:dyDescent="0.2">
      <c r="A895" s="299"/>
      <c r="B895" s="15" t="s">
        <v>8</v>
      </c>
      <c r="C895" s="13" t="s">
        <v>697</v>
      </c>
      <c r="D895" s="13" t="s">
        <v>698</v>
      </c>
      <c r="E895" s="205">
        <v>256</v>
      </c>
      <c r="F895" s="10"/>
      <c r="G895" s="199">
        <v>0</v>
      </c>
      <c r="H895" s="46"/>
      <c r="I895" s="40">
        <v>0</v>
      </c>
      <c r="J895" s="100"/>
      <c r="K895" s="39">
        <f t="shared" si="63"/>
        <v>0</v>
      </c>
      <c r="L895" s="38">
        <v>0</v>
      </c>
      <c r="M895" s="8"/>
      <c r="N895" s="16"/>
      <c r="O895" s="16"/>
      <c r="P895" s="16"/>
      <c r="Q895" s="16"/>
      <c r="R895" s="16"/>
      <c r="S895" s="16"/>
      <c r="T895" s="16"/>
      <c r="U895" s="16"/>
      <c r="V895" s="16"/>
      <c r="W895" s="8"/>
    </row>
    <row r="896" spans="1:23" ht="18" customHeight="1" x14ac:dyDescent="0.2">
      <c r="A896" s="299"/>
      <c r="B896" s="15" t="s">
        <v>8</v>
      </c>
      <c r="C896" s="13" t="s">
        <v>699</v>
      </c>
      <c r="D896" s="13" t="s">
        <v>614</v>
      </c>
      <c r="E896" s="205">
        <v>473</v>
      </c>
      <c r="F896" s="10"/>
      <c r="G896" s="199">
        <v>0</v>
      </c>
      <c r="H896" s="46"/>
      <c r="I896" s="40">
        <v>0</v>
      </c>
      <c r="J896" s="100"/>
      <c r="K896" s="39">
        <f t="shared" si="63"/>
        <v>0</v>
      </c>
      <c r="L896" s="38">
        <v>0</v>
      </c>
      <c r="M896" s="8"/>
      <c r="N896" s="16"/>
      <c r="O896" s="16"/>
      <c r="P896" s="16"/>
      <c r="Q896" s="16"/>
      <c r="R896" s="16"/>
      <c r="S896" s="16"/>
      <c r="T896" s="16"/>
      <c r="U896" s="16"/>
      <c r="V896" s="16"/>
      <c r="W896" s="8"/>
    </row>
    <row r="897" spans="1:23" ht="18" customHeight="1" x14ac:dyDescent="0.2">
      <c r="A897" s="299"/>
      <c r="B897" s="15" t="s">
        <v>8</v>
      </c>
      <c r="C897" s="13" t="s">
        <v>700</v>
      </c>
      <c r="D897" s="13" t="s">
        <v>701</v>
      </c>
      <c r="E897" s="205">
        <v>1425</v>
      </c>
      <c r="F897" s="10"/>
      <c r="G897" s="199">
        <v>0</v>
      </c>
      <c r="H897" s="46"/>
      <c r="I897" s="40">
        <v>0</v>
      </c>
      <c r="J897" s="100"/>
      <c r="K897" s="39">
        <f t="shared" si="63"/>
        <v>0</v>
      </c>
      <c r="L897" s="38">
        <v>0</v>
      </c>
      <c r="M897" s="8"/>
      <c r="N897" s="16"/>
      <c r="O897" s="16"/>
      <c r="P897" s="16"/>
      <c r="Q897" s="16"/>
      <c r="R897" s="16"/>
      <c r="S897" s="16"/>
      <c r="T897" s="16"/>
      <c r="U897" s="16"/>
      <c r="V897" s="16"/>
      <c r="W897" s="8"/>
    </row>
    <row r="898" spans="1:23" ht="18" customHeight="1" x14ac:dyDescent="0.2">
      <c r="A898" s="299"/>
      <c r="B898" s="15" t="s">
        <v>8</v>
      </c>
      <c r="C898" s="13" t="s">
        <v>702</v>
      </c>
      <c r="D898" s="13" t="s">
        <v>701</v>
      </c>
      <c r="E898" s="205">
        <v>61</v>
      </c>
      <c r="F898" s="10"/>
      <c r="G898" s="199">
        <v>0</v>
      </c>
      <c r="H898" s="46"/>
      <c r="I898" s="40">
        <v>0</v>
      </c>
      <c r="J898" s="100"/>
      <c r="K898" s="39">
        <f t="shared" si="63"/>
        <v>0</v>
      </c>
      <c r="L898" s="38">
        <v>0</v>
      </c>
      <c r="M898" s="8"/>
      <c r="N898" s="16"/>
      <c r="O898" s="16"/>
      <c r="P898" s="16"/>
      <c r="Q898" s="16"/>
      <c r="R898" s="16"/>
      <c r="S898" s="16"/>
      <c r="T898" s="16"/>
      <c r="U898" s="16"/>
      <c r="V898" s="16"/>
      <c r="W898" s="8"/>
    </row>
    <row r="899" spans="1:23" ht="18" customHeight="1" x14ac:dyDescent="0.2">
      <c r="A899" s="299"/>
      <c r="B899" s="15" t="s">
        <v>8</v>
      </c>
      <c r="C899" s="13" t="s">
        <v>703</v>
      </c>
      <c r="D899" s="13" t="s">
        <v>704</v>
      </c>
      <c r="E899" s="205">
        <v>61</v>
      </c>
      <c r="F899" s="10"/>
      <c r="G899" s="199">
        <v>0</v>
      </c>
      <c r="H899" s="46"/>
      <c r="I899" s="40">
        <v>0</v>
      </c>
      <c r="J899" s="100"/>
      <c r="K899" s="39">
        <f t="shared" si="63"/>
        <v>0</v>
      </c>
      <c r="L899" s="38">
        <v>0</v>
      </c>
      <c r="M899" s="8"/>
      <c r="N899" s="16"/>
      <c r="O899" s="16"/>
      <c r="P899" s="16"/>
      <c r="Q899" s="16"/>
      <c r="R899" s="16"/>
      <c r="S899" s="16"/>
      <c r="T899" s="16"/>
      <c r="U899" s="16"/>
      <c r="V899" s="16"/>
      <c r="W899" s="8"/>
    </row>
    <row r="900" spans="1:23" ht="18" customHeight="1" x14ac:dyDescent="0.2">
      <c r="A900" s="299"/>
      <c r="B900" s="15" t="s">
        <v>8</v>
      </c>
      <c r="C900" s="13" t="s">
        <v>705</v>
      </c>
      <c r="D900" s="13" t="s">
        <v>706</v>
      </c>
      <c r="E900" s="205">
        <v>1603</v>
      </c>
      <c r="F900" s="10"/>
      <c r="G900" s="199">
        <v>0</v>
      </c>
      <c r="H900" s="46"/>
      <c r="I900" s="40">
        <v>0</v>
      </c>
      <c r="J900" s="100"/>
      <c r="K900" s="39">
        <f t="shared" si="63"/>
        <v>0</v>
      </c>
      <c r="L900" s="38">
        <v>0</v>
      </c>
      <c r="M900" s="8"/>
      <c r="N900" s="16"/>
      <c r="O900" s="16"/>
      <c r="P900" s="16"/>
      <c r="Q900" s="16"/>
      <c r="R900" s="16"/>
      <c r="S900" s="16"/>
      <c r="T900" s="16"/>
      <c r="U900" s="16"/>
      <c r="V900" s="16"/>
      <c r="W900" s="8"/>
    </row>
    <row r="901" spans="1:23" ht="18" customHeight="1" x14ac:dyDescent="0.2">
      <c r="A901" s="299"/>
      <c r="B901" s="15" t="s">
        <v>8</v>
      </c>
      <c r="C901" s="13" t="s">
        <v>707</v>
      </c>
      <c r="D901" s="13" t="s">
        <v>708</v>
      </c>
      <c r="E901" s="205">
        <v>381</v>
      </c>
      <c r="F901" s="10"/>
      <c r="G901" s="199">
        <v>0</v>
      </c>
      <c r="H901" s="46"/>
      <c r="I901" s="40">
        <v>0</v>
      </c>
      <c r="J901" s="100"/>
      <c r="K901" s="39">
        <f t="shared" si="63"/>
        <v>0</v>
      </c>
      <c r="L901" s="38">
        <v>0</v>
      </c>
      <c r="M901" s="8"/>
      <c r="N901" s="16"/>
      <c r="O901" s="16"/>
      <c r="P901" s="16"/>
      <c r="Q901" s="16"/>
      <c r="R901" s="16"/>
      <c r="S901" s="16"/>
      <c r="T901" s="16"/>
      <c r="U901" s="16"/>
      <c r="V901" s="16"/>
      <c r="W901" s="8"/>
    </row>
    <row r="902" spans="1:23" ht="18" customHeight="1" x14ac:dyDescent="0.2">
      <c r="A902" s="299"/>
      <c r="B902" s="15" t="s">
        <v>8</v>
      </c>
      <c r="C902" s="13" t="s">
        <v>709</v>
      </c>
      <c r="D902" s="13" t="s">
        <v>710</v>
      </c>
      <c r="E902" s="205">
        <v>673</v>
      </c>
      <c r="F902" s="10"/>
      <c r="G902" s="199">
        <v>0</v>
      </c>
      <c r="H902" s="46"/>
      <c r="I902" s="40">
        <v>0</v>
      </c>
      <c r="J902" s="100"/>
      <c r="K902" s="39">
        <f t="shared" si="63"/>
        <v>0</v>
      </c>
      <c r="L902" s="38">
        <v>0</v>
      </c>
      <c r="M902" s="8"/>
      <c r="N902" s="16"/>
      <c r="O902" s="16"/>
      <c r="P902" s="16"/>
      <c r="Q902" s="16"/>
      <c r="R902" s="16"/>
      <c r="S902" s="16"/>
      <c r="T902" s="16"/>
      <c r="U902" s="16"/>
      <c r="V902" s="16"/>
      <c r="W902" s="8"/>
    </row>
    <row r="903" spans="1:23" ht="18" customHeight="1" x14ac:dyDescent="0.2">
      <c r="A903" s="299"/>
      <c r="B903" s="15" t="s">
        <v>8</v>
      </c>
      <c r="C903" s="13" t="s">
        <v>711</v>
      </c>
      <c r="D903" s="13" t="s">
        <v>744</v>
      </c>
      <c r="E903" s="205">
        <v>11715</v>
      </c>
      <c r="F903" s="10"/>
      <c r="G903" s="199">
        <v>0</v>
      </c>
      <c r="H903" s="46"/>
      <c r="I903" s="40">
        <v>0</v>
      </c>
      <c r="J903" s="100"/>
      <c r="K903" s="39">
        <f t="shared" si="63"/>
        <v>0</v>
      </c>
      <c r="L903" s="38">
        <v>0</v>
      </c>
      <c r="M903" s="8"/>
      <c r="N903" s="16"/>
      <c r="O903" s="16"/>
      <c r="P903" s="16"/>
      <c r="Q903" s="16"/>
      <c r="R903" s="16"/>
      <c r="S903" s="16"/>
      <c r="T903" s="16"/>
      <c r="U903" s="16"/>
      <c r="V903" s="16"/>
      <c r="W903" s="8"/>
    </row>
    <row r="904" spans="1:23" ht="18" customHeight="1" x14ac:dyDescent="0.2">
      <c r="A904" s="299"/>
      <c r="B904" s="15" t="s">
        <v>8</v>
      </c>
      <c r="C904" s="13" t="s">
        <v>712</v>
      </c>
      <c r="D904" s="13" t="s">
        <v>744</v>
      </c>
      <c r="E904" s="205">
        <v>4262</v>
      </c>
      <c r="F904" s="10"/>
      <c r="G904" s="199">
        <v>0</v>
      </c>
      <c r="H904" s="46"/>
      <c r="I904" s="40">
        <v>0</v>
      </c>
      <c r="J904" s="100"/>
      <c r="K904" s="39">
        <f t="shared" si="63"/>
        <v>0</v>
      </c>
      <c r="L904" s="38">
        <v>0</v>
      </c>
      <c r="M904" s="8"/>
      <c r="N904" s="16"/>
      <c r="O904" s="16"/>
      <c r="P904" s="16"/>
      <c r="Q904" s="16"/>
      <c r="R904" s="16"/>
      <c r="S904" s="16"/>
      <c r="T904" s="16"/>
      <c r="U904" s="16"/>
      <c r="V904" s="16"/>
      <c r="W904" s="8"/>
    </row>
    <row r="905" spans="1:23" ht="18" customHeight="1" x14ac:dyDescent="0.2">
      <c r="A905" s="299"/>
      <c r="B905" s="15" t="s">
        <v>8</v>
      </c>
      <c r="C905" s="13" t="s">
        <v>713</v>
      </c>
      <c r="D905" s="13" t="s">
        <v>714</v>
      </c>
      <c r="E905" s="205">
        <v>524</v>
      </c>
      <c r="F905" s="10"/>
      <c r="G905" s="199">
        <v>0</v>
      </c>
      <c r="H905" s="46"/>
      <c r="I905" s="40">
        <v>0</v>
      </c>
      <c r="J905" s="100"/>
      <c r="K905" s="39">
        <f t="shared" si="63"/>
        <v>0</v>
      </c>
      <c r="L905" s="38">
        <v>0</v>
      </c>
      <c r="M905" s="8"/>
      <c r="N905" s="16"/>
      <c r="O905" s="16"/>
      <c r="P905" s="16"/>
      <c r="Q905" s="16"/>
      <c r="R905" s="16"/>
      <c r="S905" s="16"/>
      <c r="T905" s="16"/>
      <c r="U905" s="16"/>
      <c r="V905" s="16"/>
      <c r="W905" s="8"/>
    </row>
    <row r="906" spans="1:23" ht="18" customHeight="1" x14ac:dyDescent="0.2">
      <c r="A906" s="299"/>
      <c r="B906" s="15" t="s">
        <v>67</v>
      </c>
      <c r="C906" s="13" t="s">
        <v>715</v>
      </c>
      <c r="D906" s="13" t="s">
        <v>716</v>
      </c>
      <c r="E906" s="205">
        <v>886</v>
      </c>
      <c r="F906" s="10"/>
      <c r="G906" s="199">
        <v>0</v>
      </c>
      <c r="H906" s="46"/>
      <c r="I906" s="40">
        <v>0</v>
      </c>
      <c r="J906" s="100"/>
      <c r="K906" s="39">
        <f t="shared" ref="K906:K924" si="67">E906*G906</f>
        <v>0</v>
      </c>
      <c r="L906" s="38">
        <v>0</v>
      </c>
      <c r="M906" s="8"/>
      <c r="N906" s="16"/>
      <c r="O906" s="16"/>
      <c r="P906" s="16"/>
      <c r="Q906" s="16"/>
      <c r="R906" s="16"/>
      <c r="S906" s="16"/>
      <c r="T906" s="16"/>
      <c r="U906" s="16"/>
      <c r="V906" s="16"/>
      <c r="W906" s="8"/>
    </row>
    <row r="907" spans="1:23" ht="18" customHeight="1" x14ac:dyDescent="0.2">
      <c r="A907" s="299"/>
      <c r="B907" s="15" t="s">
        <v>8</v>
      </c>
      <c r="C907" s="13" t="s">
        <v>717</v>
      </c>
      <c r="D907" s="13" t="s">
        <v>718</v>
      </c>
      <c r="E907" s="205">
        <v>479</v>
      </c>
      <c r="F907" s="10"/>
      <c r="G907" s="199">
        <v>0</v>
      </c>
      <c r="H907" s="46"/>
      <c r="I907" s="40">
        <v>0</v>
      </c>
      <c r="J907" s="100"/>
      <c r="K907" s="39">
        <f t="shared" si="67"/>
        <v>0</v>
      </c>
      <c r="L907" s="38">
        <v>0</v>
      </c>
      <c r="M907" s="8"/>
      <c r="N907" s="16"/>
      <c r="O907" s="16"/>
      <c r="P907" s="16"/>
      <c r="Q907" s="16"/>
      <c r="R907" s="16"/>
      <c r="S907" s="16"/>
      <c r="T907" s="16"/>
      <c r="U907" s="16"/>
      <c r="V907" s="16"/>
      <c r="W907" s="8"/>
    </row>
    <row r="908" spans="1:23" ht="18" customHeight="1" x14ac:dyDescent="0.2">
      <c r="A908" s="299"/>
      <c r="B908" s="15" t="s">
        <v>827</v>
      </c>
      <c r="C908" s="13" t="s">
        <v>719</v>
      </c>
      <c r="D908" s="13" t="s">
        <v>670</v>
      </c>
      <c r="E908" s="205">
        <v>205</v>
      </c>
      <c r="F908" s="10"/>
      <c r="G908" s="199">
        <v>0</v>
      </c>
      <c r="H908" s="46"/>
      <c r="I908" s="40">
        <v>0</v>
      </c>
      <c r="J908" s="100"/>
      <c r="K908" s="39">
        <f t="shared" si="67"/>
        <v>0</v>
      </c>
      <c r="L908" s="38">
        <v>0</v>
      </c>
      <c r="M908" s="8"/>
      <c r="N908" s="16"/>
      <c r="O908" s="16"/>
      <c r="P908" s="16"/>
      <c r="Q908" s="16"/>
      <c r="R908" s="16"/>
      <c r="S908" s="16"/>
      <c r="T908" s="16"/>
      <c r="U908" s="16"/>
      <c r="V908" s="16"/>
      <c r="W908" s="8"/>
    </row>
    <row r="909" spans="1:23" ht="18" customHeight="1" x14ac:dyDescent="0.2">
      <c r="A909" s="299"/>
      <c r="B909" s="289" t="s">
        <v>8</v>
      </c>
      <c r="C909" s="89" t="s">
        <v>900</v>
      </c>
      <c r="D909" s="89" t="s">
        <v>901</v>
      </c>
      <c r="E909" s="290">
        <v>5330</v>
      </c>
      <c r="F909" s="291"/>
      <c r="G909" s="295">
        <v>0</v>
      </c>
      <c r="H909" s="46"/>
      <c r="I909" s="40">
        <v>0</v>
      </c>
      <c r="J909" s="100"/>
      <c r="K909" s="39">
        <f t="shared" ref="K909" si="68">E909*G909</f>
        <v>0</v>
      </c>
      <c r="L909" s="38">
        <v>0</v>
      </c>
      <c r="M909" s="8"/>
      <c r="N909" s="16"/>
      <c r="O909" s="16"/>
      <c r="P909" s="16"/>
      <c r="Q909" s="16"/>
      <c r="R909" s="16"/>
      <c r="S909" s="16"/>
      <c r="T909" s="16"/>
      <c r="U909" s="16"/>
      <c r="V909" s="16"/>
      <c r="W909" s="8"/>
    </row>
    <row r="910" spans="1:23" ht="18" customHeight="1" x14ac:dyDescent="0.2">
      <c r="A910" s="299"/>
      <c r="B910" s="15" t="s">
        <v>827</v>
      </c>
      <c r="C910" s="13" t="s">
        <v>720</v>
      </c>
      <c r="D910" s="13" t="s">
        <v>721</v>
      </c>
      <c r="E910" s="205">
        <v>264</v>
      </c>
      <c r="F910" s="10"/>
      <c r="G910" s="199">
        <v>0</v>
      </c>
      <c r="H910" s="46"/>
      <c r="I910" s="40">
        <v>0</v>
      </c>
      <c r="J910" s="100"/>
      <c r="K910" s="39">
        <f t="shared" si="67"/>
        <v>0</v>
      </c>
      <c r="L910" s="38">
        <v>0</v>
      </c>
      <c r="M910" s="8"/>
      <c r="N910" s="16"/>
      <c r="O910" s="16"/>
      <c r="P910" s="16"/>
      <c r="Q910" s="16"/>
      <c r="R910" s="16"/>
      <c r="S910" s="16"/>
      <c r="T910" s="16"/>
      <c r="U910" s="16"/>
      <c r="V910" s="16"/>
      <c r="W910" s="8"/>
    </row>
    <row r="911" spans="1:23" ht="18" customHeight="1" x14ac:dyDescent="0.2">
      <c r="A911" s="299"/>
      <c r="B911" s="15" t="s">
        <v>342</v>
      </c>
      <c r="C911" s="13" t="s">
        <v>722</v>
      </c>
      <c r="D911" s="13" t="s">
        <v>580</v>
      </c>
      <c r="E911" s="205">
        <v>461</v>
      </c>
      <c r="F911" s="10"/>
      <c r="G911" s="199">
        <v>0</v>
      </c>
      <c r="H911" s="46"/>
      <c r="I911" s="40">
        <v>0</v>
      </c>
      <c r="J911" s="100"/>
      <c r="K911" s="39">
        <f t="shared" si="67"/>
        <v>0</v>
      </c>
      <c r="L911" s="38">
        <v>0</v>
      </c>
      <c r="M911" s="8"/>
      <c r="N911" s="16"/>
      <c r="O911" s="16"/>
      <c r="P911" s="16"/>
      <c r="Q911" s="16"/>
      <c r="R911" s="16"/>
      <c r="S911" s="16"/>
      <c r="T911" s="16"/>
      <c r="U911" s="16"/>
      <c r="V911" s="16"/>
      <c r="W911" s="8"/>
    </row>
    <row r="912" spans="1:23" ht="18" customHeight="1" x14ac:dyDescent="0.2">
      <c r="A912" s="299"/>
      <c r="B912" s="15" t="s">
        <v>12</v>
      </c>
      <c r="C912" s="13" t="s">
        <v>723</v>
      </c>
      <c r="D912" s="13" t="s">
        <v>580</v>
      </c>
      <c r="E912" s="205">
        <v>3328</v>
      </c>
      <c r="F912" s="10"/>
      <c r="G912" s="199">
        <v>0</v>
      </c>
      <c r="H912" s="46"/>
      <c r="I912" s="40">
        <v>0</v>
      </c>
      <c r="J912" s="100"/>
      <c r="K912" s="39">
        <f t="shared" si="67"/>
        <v>0</v>
      </c>
      <c r="L912" s="38">
        <v>0</v>
      </c>
      <c r="M912" s="8"/>
      <c r="N912" s="16"/>
      <c r="O912" s="16"/>
      <c r="P912" s="16"/>
      <c r="Q912" s="16"/>
      <c r="R912" s="16"/>
      <c r="S912" s="16"/>
      <c r="T912" s="16"/>
      <c r="U912" s="16"/>
      <c r="V912" s="16"/>
      <c r="W912" s="8"/>
    </row>
    <row r="913" spans="1:24" ht="18" customHeight="1" x14ac:dyDescent="0.2">
      <c r="A913" s="299"/>
      <c r="B913" s="15" t="s">
        <v>343</v>
      </c>
      <c r="C913" s="13" t="s">
        <v>724</v>
      </c>
      <c r="D913" s="13" t="s">
        <v>725</v>
      </c>
      <c r="E913" s="205">
        <v>2445</v>
      </c>
      <c r="F913" s="10"/>
      <c r="G913" s="199">
        <v>0</v>
      </c>
      <c r="H913" s="46"/>
      <c r="I913" s="40">
        <v>0</v>
      </c>
      <c r="J913" s="100"/>
      <c r="K913" s="39">
        <f t="shared" si="67"/>
        <v>0</v>
      </c>
      <c r="L913" s="38">
        <v>0</v>
      </c>
      <c r="M913" s="8"/>
      <c r="N913" s="16"/>
      <c r="O913" s="16"/>
      <c r="P913" s="16"/>
      <c r="Q913" s="16"/>
      <c r="R913" s="16"/>
      <c r="S913" s="16"/>
      <c r="T913" s="16"/>
      <c r="U913" s="16"/>
      <c r="V913" s="16"/>
      <c r="W913" s="8"/>
    </row>
    <row r="914" spans="1:24" ht="18" customHeight="1" x14ac:dyDescent="0.2">
      <c r="A914" s="299"/>
      <c r="B914" s="15" t="s">
        <v>343</v>
      </c>
      <c r="C914" s="13" t="s">
        <v>726</v>
      </c>
      <c r="D914" s="13" t="s">
        <v>727</v>
      </c>
      <c r="E914" s="205">
        <v>357</v>
      </c>
      <c r="F914" s="10"/>
      <c r="G914" s="199">
        <v>0</v>
      </c>
      <c r="H914" s="46"/>
      <c r="I914" s="40">
        <v>0</v>
      </c>
      <c r="J914" s="100"/>
      <c r="K914" s="39">
        <f t="shared" si="67"/>
        <v>0</v>
      </c>
      <c r="L914" s="38">
        <v>0</v>
      </c>
      <c r="M914" s="8"/>
      <c r="N914" s="16"/>
      <c r="O914" s="16"/>
      <c r="P914" s="16"/>
      <c r="Q914" s="16"/>
      <c r="R914" s="16"/>
      <c r="S914" s="16"/>
      <c r="T914" s="16"/>
      <c r="U914" s="16"/>
      <c r="V914" s="16"/>
      <c r="W914" s="8"/>
    </row>
    <row r="915" spans="1:24" ht="18" customHeight="1" x14ac:dyDescent="0.2">
      <c r="A915" s="299"/>
      <c r="B915" s="15" t="s">
        <v>8</v>
      </c>
      <c r="C915" s="13" t="s">
        <v>728</v>
      </c>
      <c r="D915" s="13" t="s">
        <v>698</v>
      </c>
      <c r="E915" s="205">
        <v>511</v>
      </c>
      <c r="F915" s="10"/>
      <c r="G915" s="199">
        <v>0</v>
      </c>
      <c r="H915" s="46"/>
      <c r="I915" s="40">
        <v>0</v>
      </c>
      <c r="J915" s="100"/>
      <c r="K915" s="39">
        <f t="shared" si="67"/>
        <v>0</v>
      </c>
      <c r="L915" s="38">
        <v>0</v>
      </c>
      <c r="M915" s="8"/>
      <c r="N915" s="16"/>
      <c r="O915" s="16"/>
      <c r="P915" s="16"/>
      <c r="Q915" s="16"/>
      <c r="R915" s="16"/>
      <c r="S915" s="16"/>
      <c r="T915" s="16"/>
      <c r="U915" s="16"/>
      <c r="V915" s="16"/>
      <c r="W915" s="8"/>
    </row>
    <row r="916" spans="1:24" ht="18" customHeight="1" x14ac:dyDescent="0.2">
      <c r="A916" s="299"/>
      <c r="B916" s="15" t="s">
        <v>8</v>
      </c>
      <c r="C916" s="13" t="s">
        <v>729</v>
      </c>
      <c r="D916" s="13" t="s">
        <v>698</v>
      </c>
      <c r="E916" s="205">
        <v>970</v>
      </c>
      <c r="F916" s="10"/>
      <c r="G916" s="199">
        <v>0</v>
      </c>
      <c r="H916" s="46"/>
      <c r="I916" s="40">
        <v>0</v>
      </c>
      <c r="J916" s="100"/>
      <c r="K916" s="39">
        <f t="shared" si="67"/>
        <v>0</v>
      </c>
      <c r="L916" s="38">
        <v>0</v>
      </c>
      <c r="M916" s="8"/>
      <c r="N916" s="16"/>
      <c r="O916" s="16"/>
      <c r="P916" s="16"/>
      <c r="Q916" s="16"/>
      <c r="R916" s="16"/>
      <c r="S916" s="16"/>
      <c r="T916" s="16"/>
      <c r="U916" s="16"/>
      <c r="V916" s="16"/>
      <c r="W916" s="8"/>
    </row>
    <row r="917" spans="1:24" ht="18" customHeight="1" x14ac:dyDescent="0.2">
      <c r="A917" s="299"/>
      <c r="B917" s="15" t="s">
        <v>8</v>
      </c>
      <c r="C917" s="13" t="s">
        <v>730</v>
      </c>
      <c r="D917" s="13" t="s">
        <v>731</v>
      </c>
      <c r="E917" s="205">
        <v>11210</v>
      </c>
      <c r="F917" s="10"/>
      <c r="G917" s="199">
        <v>0</v>
      </c>
      <c r="H917" s="46"/>
      <c r="I917" s="40">
        <v>0</v>
      </c>
      <c r="J917" s="100"/>
      <c r="K917" s="39">
        <f t="shared" si="67"/>
        <v>0</v>
      </c>
      <c r="L917" s="38">
        <v>0</v>
      </c>
      <c r="M917" s="8"/>
      <c r="N917" s="16"/>
      <c r="O917" s="16"/>
      <c r="P917" s="16"/>
      <c r="Q917" s="16"/>
      <c r="R917" s="16"/>
      <c r="S917" s="16"/>
      <c r="T917" s="16"/>
      <c r="U917" s="16"/>
      <c r="V917" s="16"/>
      <c r="W917" s="8"/>
    </row>
    <row r="918" spans="1:24" ht="18" customHeight="1" x14ac:dyDescent="0.2">
      <c r="A918" s="299"/>
      <c r="B918" s="15" t="s">
        <v>833</v>
      </c>
      <c r="C918" s="13" t="s">
        <v>732</v>
      </c>
      <c r="D918" s="13" t="s">
        <v>733</v>
      </c>
      <c r="E918" s="205">
        <v>3644</v>
      </c>
      <c r="F918" s="10"/>
      <c r="G918" s="199">
        <v>0</v>
      </c>
      <c r="H918" s="46"/>
      <c r="I918" s="40">
        <v>0</v>
      </c>
      <c r="J918" s="100"/>
      <c r="K918" s="39">
        <f t="shared" si="67"/>
        <v>0</v>
      </c>
      <c r="L918" s="38">
        <v>0</v>
      </c>
      <c r="M918" s="8"/>
      <c r="N918" s="16"/>
      <c r="O918" s="16"/>
      <c r="P918" s="16"/>
      <c r="Q918" s="16"/>
      <c r="R918" s="16"/>
      <c r="S918" s="16"/>
      <c r="T918" s="16"/>
      <c r="U918" s="16"/>
      <c r="V918" s="16"/>
      <c r="W918" s="8"/>
    </row>
    <row r="919" spans="1:24" ht="18" customHeight="1" x14ac:dyDescent="0.2">
      <c r="A919" s="299"/>
      <c r="B919" s="15" t="s">
        <v>68</v>
      </c>
      <c r="C919" s="13" t="s">
        <v>734</v>
      </c>
      <c r="D919" s="13" t="s">
        <v>698</v>
      </c>
      <c r="E919" s="205">
        <v>534</v>
      </c>
      <c r="F919" s="10"/>
      <c r="G919" s="199">
        <v>0</v>
      </c>
      <c r="H919" s="46"/>
      <c r="I919" s="40">
        <v>0</v>
      </c>
      <c r="J919" s="100"/>
      <c r="K919" s="39">
        <f t="shared" si="67"/>
        <v>0</v>
      </c>
      <c r="L919" s="38">
        <v>0</v>
      </c>
      <c r="M919" s="8"/>
      <c r="N919" s="16"/>
      <c r="O919" s="16"/>
      <c r="P919" s="16"/>
      <c r="Q919" s="16"/>
      <c r="R919" s="16"/>
      <c r="S919" s="16"/>
      <c r="T919" s="16"/>
      <c r="U919" s="16"/>
      <c r="V919" s="16"/>
      <c r="W919" s="8"/>
    </row>
    <row r="920" spans="1:24" ht="18" customHeight="1" x14ac:dyDescent="0.2">
      <c r="A920" s="299"/>
      <c r="B920" s="15" t="s">
        <v>8</v>
      </c>
      <c r="C920" s="13" t="s">
        <v>735</v>
      </c>
      <c r="D920" s="13" t="s">
        <v>691</v>
      </c>
      <c r="E920" s="205">
        <v>20827</v>
      </c>
      <c r="F920" s="10"/>
      <c r="G920" s="199">
        <v>0</v>
      </c>
      <c r="H920" s="46"/>
      <c r="I920" s="40">
        <v>0</v>
      </c>
      <c r="J920" s="100"/>
      <c r="K920" s="39">
        <f t="shared" si="67"/>
        <v>0</v>
      </c>
      <c r="L920" s="38">
        <v>0</v>
      </c>
      <c r="M920" s="8"/>
      <c r="N920" s="16"/>
      <c r="O920" s="16"/>
      <c r="P920" s="16"/>
      <c r="Q920" s="16"/>
      <c r="R920" s="16"/>
      <c r="S920" s="16"/>
      <c r="T920" s="16"/>
      <c r="U920" s="16"/>
      <c r="V920" s="16"/>
      <c r="W920" s="8"/>
    </row>
    <row r="921" spans="1:24" ht="18" customHeight="1" x14ac:dyDescent="0.2">
      <c r="A921" s="299"/>
      <c r="B921" s="15" t="s">
        <v>8</v>
      </c>
      <c r="C921" s="13" t="s">
        <v>736</v>
      </c>
      <c r="D921" s="13" t="s">
        <v>691</v>
      </c>
      <c r="E921" s="205">
        <v>7260</v>
      </c>
      <c r="F921" s="10"/>
      <c r="G921" s="199">
        <v>0</v>
      </c>
      <c r="H921" s="46"/>
      <c r="I921" s="40">
        <v>0</v>
      </c>
      <c r="J921" s="100"/>
      <c r="K921" s="39">
        <f t="shared" si="67"/>
        <v>0</v>
      </c>
      <c r="L921" s="38">
        <v>0</v>
      </c>
      <c r="M921" s="8"/>
      <c r="N921" s="16"/>
      <c r="O921" s="16"/>
      <c r="P921" s="16"/>
      <c r="Q921" s="16"/>
      <c r="R921" s="16"/>
      <c r="S921" s="16"/>
      <c r="T921" s="16"/>
      <c r="U921" s="16"/>
      <c r="V921" s="16"/>
      <c r="W921" s="8"/>
    </row>
    <row r="922" spans="1:24" ht="18" customHeight="1" x14ac:dyDescent="0.2">
      <c r="A922" s="299"/>
      <c r="B922" s="15" t="s">
        <v>8</v>
      </c>
      <c r="C922" s="13" t="s">
        <v>737</v>
      </c>
      <c r="D922" s="13" t="s">
        <v>738</v>
      </c>
      <c r="E922" s="205">
        <v>1300</v>
      </c>
      <c r="F922" s="10"/>
      <c r="G922" s="199">
        <v>0</v>
      </c>
      <c r="H922" s="46"/>
      <c r="I922" s="40">
        <v>0</v>
      </c>
      <c r="J922" s="100"/>
      <c r="K922" s="39">
        <f t="shared" si="67"/>
        <v>0</v>
      </c>
      <c r="L922" s="38">
        <v>0</v>
      </c>
      <c r="M922" s="8"/>
      <c r="N922" s="16"/>
      <c r="O922" s="16"/>
      <c r="P922" s="16"/>
      <c r="Q922" s="16"/>
      <c r="R922" s="16"/>
      <c r="S922" s="16"/>
      <c r="T922" s="16"/>
      <c r="U922" s="16"/>
      <c r="V922" s="16"/>
      <c r="W922" s="8"/>
    </row>
    <row r="923" spans="1:24" ht="18" customHeight="1" x14ac:dyDescent="0.2">
      <c r="A923" s="299"/>
      <c r="B923" s="15" t="s">
        <v>8</v>
      </c>
      <c r="C923" s="13" t="s">
        <v>739</v>
      </c>
      <c r="D923" s="13" t="s">
        <v>740</v>
      </c>
      <c r="E923" s="205">
        <v>310</v>
      </c>
      <c r="F923" s="10"/>
      <c r="G923" s="199">
        <v>0</v>
      </c>
      <c r="H923" s="46"/>
      <c r="I923" s="40">
        <v>0</v>
      </c>
      <c r="J923" s="100"/>
      <c r="K923" s="39">
        <f t="shared" si="67"/>
        <v>0</v>
      </c>
      <c r="L923" s="38">
        <v>0</v>
      </c>
      <c r="M923" s="8"/>
      <c r="N923" s="16"/>
      <c r="O923" s="16"/>
      <c r="P923" s="16"/>
      <c r="Q923" s="16"/>
      <c r="R923" s="16"/>
      <c r="S923" s="16"/>
      <c r="T923" s="16"/>
      <c r="U923" s="16"/>
      <c r="V923" s="16"/>
      <c r="W923" s="8"/>
    </row>
    <row r="924" spans="1:24" ht="18" customHeight="1" x14ac:dyDescent="0.2">
      <c r="A924" s="299"/>
      <c r="B924" s="15" t="s">
        <v>194</v>
      </c>
      <c r="C924" s="13" t="s">
        <v>741</v>
      </c>
      <c r="D924" s="13" t="s">
        <v>743</v>
      </c>
      <c r="E924" s="205">
        <v>1958</v>
      </c>
      <c r="F924" s="10"/>
      <c r="G924" s="199">
        <v>0</v>
      </c>
      <c r="H924" s="46"/>
      <c r="I924" s="40">
        <v>0</v>
      </c>
      <c r="J924" s="100"/>
      <c r="K924" s="39">
        <f t="shared" si="67"/>
        <v>0</v>
      </c>
      <c r="L924" s="38">
        <v>0</v>
      </c>
      <c r="M924" s="8"/>
      <c r="N924" s="16"/>
      <c r="O924" s="16"/>
      <c r="P924" s="16"/>
      <c r="Q924" s="16"/>
      <c r="R924" s="16"/>
      <c r="S924" s="16"/>
      <c r="T924" s="16"/>
      <c r="U924" s="16"/>
      <c r="V924" s="16"/>
      <c r="W924" s="8"/>
    </row>
    <row r="925" spans="1:24" s="277" customFormat="1" ht="18" customHeight="1" x14ac:dyDescent="0.2">
      <c r="A925" s="298" t="s">
        <v>44</v>
      </c>
      <c r="B925" s="298"/>
      <c r="C925" s="280"/>
      <c r="D925" s="280"/>
      <c r="E925" s="279">
        <f>SUM(E875:E924)</f>
        <v>611524.70169400005</v>
      </c>
      <c r="F925" s="279"/>
      <c r="G925" s="282"/>
      <c r="H925" s="279"/>
      <c r="I925" s="279"/>
      <c r="J925" s="279"/>
      <c r="K925" s="279"/>
      <c r="L925" s="279"/>
      <c r="X925" s="278"/>
    </row>
    <row r="926" spans="1:24" x14ac:dyDescent="0.2">
      <c r="A926" s="299" t="s">
        <v>12</v>
      </c>
      <c r="B926" s="8"/>
      <c r="C926" s="13" t="s">
        <v>750</v>
      </c>
      <c r="D926" s="13" t="s">
        <v>751</v>
      </c>
      <c r="E926" s="205">
        <v>69091.398776000002</v>
      </c>
      <c r="F926" s="10"/>
      <c r="G926" s="199"/>
      <c r="H926" s="46"/>
      <c r="I926" s="40">
        <v>15625</v>
      </c>
      <c r="J926" s="10"/>
      <c r="K926" s="39">
        <f>E926*G926</f>
        <v>0</v>
      </c>
      <c r="L926" s="38">
        <v>0</v>
      </c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</row>
    <row r="927" spans="1:24" x14ac:dyDescent="0.2">
      <c r="A927" s="299"/>
      <c r="B927" s="8"/>
      <c r="C927" s="13" t="s">
        <v>749</v>
      </c>
      <c r="D927" s="13" t="s">
        <v>751</v>
      </c>
      <c r="E927" s="205">
        <v>2609247.8676760001</v>
      </c>
      <c r="F927" s="10"/>
      <c r="G927" s="199"/>
      <c r="H927" s="46"/>
      <c r="I927" s="40">
        <v>5816</v>
      </c>
      <c r="J927" s="10"/>
      <c r="K927" s="39"/>
      <c r="L927" s="3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</row>
    <row r="928" spans="1:24" x14ac:dyDescent="0.2">
      <c r="A928" s="299"/>
      <c r="B928" s="8"/>
      <c r="C928" s="13" t="s">
        <v>748</v>
      </c>
      <c r="D928" s="13" t="s">
        <v>751</v>
      </c>
      <c r="E928" s="205">
        <v>78795.695353000003</v>
      </c>
      <c r="F928" s="10"/>
      <c r="G928" s="199"/>
      <c r="H928" s="46"/>
      <c r="I928" s="40">
        <v>0</v>
      </c>
      <c r="J928" s="10"/>
      <c r="K928" s="39">
        <f>E928*G928</f>
        <v>0</v>
      </c>
      <c r="L928" s="38">
        <v>0</v>
      </c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</row>
    <row r="929" spans="1:24" s="277" customFormat="1" ht="18" customHeight="1" x14ac:dyDescent="0.2">
      <c r="A929" s="298" t="s">
        <v>45</v>
      </c>
      <c r="B929" s="298"/>
      <c r="E929" s="279">
        <f>SUM(E926:E928)</f>
        <v>2757134.961805</v>
      </c>
      <c r="F929" s="279"/>
      <c r="G929" s="282"/>
      <c r="H929" s="279"/>
      <c r="I929" s="279">
        <f>SUM(I926:I928)</f>
        <v>21441</v>
      </c>
      <c r="J929" s="279"/>
      <c r="K929" s="279"/>
      <c r="L929" s="279"/>
      <c r="X929" s="278"/>
    </row>
    <row r="930" spans="1:24" s="277" customFormat="1" ht="18" customHeight="1" x14ac:dyDescent="0.2">
      <c r="A930" s="298" t="s">
        <v>25</v>
      </c>
      <c r="B930" s="298"/>
      <c r="E930" s="281"/>
      <c r="F930" s="279"/>
      <c r="G930" s="282"/>
      <c r="H930" s="279"/>
      <c r="I930" s="279">
        <f>I929+I925+I874+I847+I843+I829+I132+I29</f>
        <v>1472761.98</v>
      </c>
      <c r="J930" s="279">
        <f>J929+J925+J874+J847+J843+J829+J132+J29</f>
        <v>536061.65506489796</v>
      </c>
      <c r="K930" s="279">
        <f>K929+K925+K874+K847+K843+K829+K132+K29</f>
        <v>1923018.0356553977</v>
      </c>
      <c r="L930" s="279">
        <f>L929+L925+L874+L847+L843+L829+L132+L29</f>
        <v>3493</v>
      </c>
      <c r="X930" s="278"/>
    </row>
    <row r="931" spans="1:24" x14ac:dyDescent="0.2">
      <c r="A931" s="17"/>
      <c r="B931" s="17"/>
    </row>
    <row r="932" spans="1:24" x14ac:dyDescent="0.2">
      <c r="A932" s="17"/>
      <c r="B932" s="17"/>
    </row>
    <row r="933" spans="1:24" x14ac:dyDescent="0.2">
      <c r="A933" s="9" t="s">
        <v>52</v>
      </c>
    </row>
    <row r="934" spans="1:24" x14ac:dyDescent="0.2">
      <c r="A934" s="9" t="s">
        <v>53</v>
      </c>
    </row>
    <row r="935" spans="1:24" x14ac:dyDescent="0.2">
      <c r="A935" s="9" t="s">
        <v>54</v>
      </c>
    </row>
    <row r="936" spans="1:24" x14ac:dyDescent="0.2">
      <c r="A936" s="9" t="s">
        <v>57</v>
      </c>
    </row>
    <row r="937" spans="1:24" x14ac:dyDescent="0.2">
      <c r="A937" s="9" t="s">
        <v>56</v>
      </c>
    </row>
    <row r="938" spans="1:24" x14ac:dyDescent="0.2">
      <c r="A938" s="9" t="s">
        <v>893</v>
      </c>
    </row>
  </sheetData>
  <mergeCells count="162">
    <mergeCell ref="E819:E828"/>
    <mergeCell ref="G819:G828"/>
    <mergeCell ref="E777:E798"/>
    <mergeCell ref="G777:G798"/>
    <mergeCell ref="E799:E808"/>
    <mergeCell ref="G799:G808"/>
    <mergeCell ref="E809:E818"/>
    <mergeCell ref="G809:G818"/>
    <mergeCell ref="E752:E768"/>
    <mergeCell ref="G752:G768"/>
    <mergeCell ref="E769:E771"/>
    <mergeCell ref="G769:G771"/>
    <mergeCell ref="E772:E776"/>
    <mergeCell ref="G772:G776"/>
    <mergeCell ref="E714:E725"/>
    <mergeCell ref="G714:G725"/>
    <mergeCell ref="E726:E742"/>
    <mergeCell ref="G726:G742"/>
    <mergeCell ref="E743:E751"/>
    <mergeCell ref="G743:G751"/>
    <mergeCell ref="E679:E695"/>
    <mergeCell ref="G679:G695"/>
    <mergeCell ref="E696:E709"/>
    <mergeCell ref="G696:G709"/>
    <mergeCell ref="E710:E713"/>
    <mergeCell ref="G710:G713"/>
    <mergeCell ref="E659:E662"/>
    <mergeCell ref="G659:G662"/>
    <mergeCell ref="E663:E667"/>
    <mergeCell ref="G663:G667"/>
    <mergeCell ref="E668:E678"/>
    <mergeCell ref="G668:G678"/>
    <mergeCell ref="E636:E642"/>
    <mergeCell ref="G636:G642"/>
    <mergeCell ref="E643:E654"/>
    <mergeCell ref="G643:G654"/>
    <mergeCell ref="E655:E658"/>
    <mergeCell ref="G655:G658"/>
    <mergeCell ref="E615:E626"/>
    <mergeCell ref="G615:G626"/>
    <mergeCell ref="E627:E633"/>
    <mergeCell ref="G627:G633"/>
    <mergeCell ref="E634:E635"/>
    <mergeCell ref="G634:G635"/>
    <mergeCell ref="E581:E589"/>
    <mergeCell ref="G581:G589"/>
    <mergeCell ref="E590:E606"/>
    <mergeCell ref="G590:G606"/>
    <mergeCell ref="E607:E614"/>
    <mergeCell ref="G607:G614"/>
    <mergeCell ref="E546:E551"/>
    <mergeCell ref="G546:G551"/>
    <mergeCell ref="E552:E566"/>
    <mergeCell ref="G552:G566"/>
    <mergeCell ref="E567:E580"/>
    <mergeCell ref="G567:G580"/>
    <mergeCell ref="E521:E531"/>
    <mergeCell ref="G521:G531"/>
    <mergeCell ref="E532:E534"/>
    <mergeCell ref="G532:G534"/>
    <mergeCell ref="E535:E545"/>
    <mergeCell ref="G535:G545"/>
    <mergeCell ref="E496:E507"/>
    <mergeCell ref="G496:G507"/>
    <mergeCell ref="E508:E513"/>
    <mergeCell ref="G508:G513"/>
    <mergeCell ref="E514:E520"/>
    <mergeCell ref="G514:G520"/>
    <mergeCell ref="E479:E485"/>
    <mergeCell ref="G479:G485"/>
    <mergeCell ref="E486:E490"/>
    <mergeCell ref="G486:G490"/>
    <mergeCell ref="E491:E495"/>
    <mergeCell ref="G491:G495"/>
    <mergeCell ref="E466:E478"/>
    <mergeCell ref="G454:G459"/>
    <mergeCell ref="G466:G478"/>
    <mergeCell ref="E441:E446"/>
    <mergeCell ref="G441:G446"/>
    <mergeCell ref="E447:E453"/>
    <mergeCell ref="G447:G453"/>
    <mergeCell ref="E454:E459"/>
    <mergeCell ref="E460:E465"/>
    <mergeCell ref="G460:G465"/>
    <mergeCell ref="E407:E416"/>
    <mergeCell ref="G407:G416"/>
    <mergeCell ref="E417:E430"/>
    <mergeCell ref="G417:G430"/>
    <mergeCell ref="E431:E440"/>
    <mergeCell ref="G431:G440"/>
    <mergeCell ref="E371:E388"/>
    <mergeCell ref="G371:G388"/>
    <mergeCell ref="E389:E399"/>
    <mergeCell ref="G389:G399"/>
    <mergeCell ref="E400:E406"/>
    <mergeCell ref="G400:G406"/>
    <mergeCell ref="E360:E370"/>
    <mergeCell ref="G360:G370"/>
    <mergeCell ref="E313:E318"/>
    <mergeCell ref="G313:G318"/>
    <mergeCell ref="E319:E332"/>
    <mergeCell ref="G319:G332"/>
    <mergeCell ref="E333:E350"/>
    <mergeCell ref="G333:G350"/>
    <mergeCell ref="E351:E359"/>
    <mergeCell ref="G351:G359"/>
    <mergeCell ref="E296:E302"/>
    <mergeCell ref="G296:G302"/>
    <mergeCell ref="E303:E306"/>
    <mergeCell ref="G303:G306"/>
    <mergeCell ref="E307:E312"/>
    <mergeCell ref="G307:G312"/>
    <mergeCell ref="E267:E276"/>
    <mergeCell ref="G267:G276"/>
    <mergeCell ref="E277:E282"/>
    <mergeCell ref="G277:G282"/>
    <mergeCell ref="E283:E295"/>
    <mergeCell ref="G283:G295"/>
    <mergeCell ref="E243:E249"/>
    <mergeCell ref="G243:G249"/>
    <mergeCell ref="E250:E261"/>
    <mergeCell ref="G250:G261"/>
    <mergeCell ref="E262:E266"/>
    <mergeCell ref="G262:G266"/>
    <mergeCell ref="E215:E223"/>
    <mergeCell ref="G215:G223"/>
    <mergeCell ref="E224:E231"/>
    <mergeCell ref="G224:G231"/>
    <mergeCell ref="E232:E242"/>
    <mergeCell ref="G232:G242"/>
    <mergeCell ref="G180:G193"/>
    <mergeCell ref="G194:G197"/>
    <mergeCell ref="G198:G214"/>
    <mergeCell ref="E180:E193"/>
    <mergeCell ref="E194:E197"/>
    <mergeCell ref="E198:E214"/>
    <mergeCell ref="A2:V2"/>
    <mergeCell ref="A29:B29"/>
    <mergeCell ref="M3:W3"/>
    <mergeCell ref="C3:C4"/>
    <mergeCell ref="D3:D4"/>
    <mergeCell ref="I3:K3"/>
    <mergeCell ref="G3:H3"/>
    <mergeCell ref="E3:F3"/>
    <mergeCell ref="A3:A4"/>
    <mergeCell ref="B3:B4"/>
    <mergeCell ref="A30:A131"/>
    <mergeCell ref="A5:A28"/>
    <mergeCell ref="A829:B829"/>
    <mergeCell ref="A830:A842"/>
    <mergeCell ref="A132:B132"/>
    <mergeCell ref="A133:A828"/>
    <mergeCell ref="A843:B843"/>
    <mergeCell ref="A844:A846"/>
    <mergeCell ref="A930:B930"/>
    <mergeCell ref="A926:A928"/>
    <mergeCell ref="A929:B929"/>
    <mergeCell ref="A848:A873"/>
    <mergeCell ref="A874:B874"/>
    <mergeCell ref="A875:A924"/>
    <mergeCell ref="A925:B925"/>
    <mergeCell ref="A847:B847"/>
  </mergeCells>
  <phoneticPr fontId="3" type="noConversion"/>
  <printOptions horizontalCentered="1" verticalCentered="1"/>
  <pageMargins left="0.19685039370078741" right="0.19685039370078741" top="0.19685039370078741" bottom="0.19685039370078741" header="0" footer="0"/>
  <pageSetup paperSize="8" scale="5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44"/>
  <sheetViews>
    <sheetView topLeftCell="A122" workbookViewId="0">
      <selection activeCell="F145" sqref="B1:F145"/>
    </sheetView>
  </sheetViews>
  <sheetFormatPr defaultRowHeight="12.75" x14ac:dyDescent="0.2"/>
  <cols>
    <col min="2" max="2" width="6.5703125" customWidth="1"/>
    <col min="3" max="3" width="41.5703125" customWidth="1"/>
    <col min="4" max="4" width="16.140625" customWidth="1"/>
    <col min="5" max="5" width="30.85546875" customWidth="1"/>
    <col min="6" max="6" width="17.7109375" customWidth="1"/>
  </cols>
  <sheetData>
    <row r="1" spans="2:6" ht="13.5" thickBot="1" x14ac:dyDescent="0.25"/>
    <row r="2" spans="2:6" ht="15.75" thickBot="1" x14ac:dyDescent="0.25">
      <c r="B2" s="342" t="s">
        <v>423</v>
      </c>
      <c r="C2" s="343"/>
      <c r="D2" s="343"/>
      <c r="E2" s="343"/>
      <c r="F2" s="344"/>
    </row>
    <row r="3" spans="2:6" ht="15.75" thickBot="1" x14ac:dyDescent="0.25">
      <c r="B3" s="342" t="s">
        <v>48</v>
      </c>
      <c r="C3" s="343"/>
      <c r="D3" s="343"/>
      <c r="E3" s="343"/>
      <c r="F3" s="344"/>
    </row>
    <row r="4" spans="2:6" ht="13.5" thickBot="1" x14ac:dyDescent="0.25">
      <c r="B4" s="67"/>
      <c r="C4" s="1"/>
      <c r="D4" s="1"/>
      <c r="E4" s="1"/>
      <c r="F4" s="68"/>
    </row>
    <row r="5" spans="2:6" ht="39" thickBot="1" x14ac:dyDescent="0.25">
      <c r="B5" s="67"/>
      <c r="C5" s="64" t="s">
        <v>0</v>
      </c>
      <c r="D5" s="2" t="s">
        <v>424</v>
      </c>
      <c r="E5" s="69"/>
      <c r="F5" s="123" t="s">
        <v>425</v>
      </c>
    </row>
    <row r="6" spans="2:6" x14ac:dyDescent="0.2">
      <c r="B6" s="67"/>
      <c r="C6" s="3" t="s">
        <v>4</v>
      </c>
      <c r="D6" s="115">
        <f>SUM('Proposta Dimensionamento'!N2)</f>
        <v>154.73684210526318</v>
      </c>
      <c r="E6" s="67" t="s">
        <v>426</v>
      </c>
      <c r="F6" s="124">
        <v>4.5</v>
      </c>
    </row>
    <row r="7" spans="2:6" x14ac:dyDescent="0.2">
      <c r="B7" s="67"/>
      <c r="C7" s="4" t="s">
        <v>5</v>
      </c>
      <c r="D7" s="116">
        <f>SUM('Proposta Dimensionamento'!N3:N4)</f>
        <v>2524.4506307247343</v>
      </c>
      <c r="E7" s="67" t="s">
        <v>427</v>
      </c>
      <c r="F7" s="124">
        <v>2</v>
      </c>
    </row>
    <row r="8" spans="2:6" x14ac:dyDescent="0.2">
      <c r="B8" s="67"/>
      <c r="C8" s="70"/>
      <c r="D8" s="117"/>
      <c r="E8" s="67" t="s">
        <v>428</v>
      </c>
      <c r="F8" s="124">
        <v>9</v>
      </c>
    </row>
    <row r="9" spans="2:6" ht="13.5" thickBot="1" x14ac:dyDescent="0.25">
      <c r="B9" s="71"/>
      <c r="C9" s="5" t="s">
        <v>11</v>
      </c>
      <c r="D9" s="118">
        <f>D6+D7+D8</f>
        <v>2679.1874728299977</v>
      </c>
      <c r="E9" s="67" t="s">
        <v>429</v>
      </c>
      <c r="F9" s="124">
        <v>2.5</v>
      </c>
    </row>
    <row r="10" spans="2:6" ht="13.5" thickBot="1" x14ac:dyDescent="0.25">
      <c r="B10" s="71"/>
      <c r="C10" s="72"/>
      <c r="D10" s="72"/>
      <c r="E10" s="73" t="s">
        <v>430</v>
      </c>
      <c r="F10" s="125">
        <f>SUM(F6:F9)</f>
        <v>18</v>
      </c>
    </row>
    <row r="11" spans="2:6" ht="13.5" thickBot="1" x14ac:dyDescent="0.25">
      <c r="B11" s="67"/>
      <c r="C11" s="1"/>
      <c r="D11" s="1"/>
      <c r="E11" s="1"/>
      <c r="F11" s="68"/>
    </row>
    <row r="12" spans="2:6" ht="51.75" thickBot="1" x14ac:dyDescent="0.25">
      <c r="B12" s="345" t="s">
        <v>21</v>
      </c>
      <c r="C12" s="346"/>
      <c r="D12" s="6" t="s">
        <v>22</v>
      </c>
      <c r="E12" s="6" t="s">
        <v>23</v>
      </c>
      <c r="F12" s="157" t="s">
        <v>24</v>
      </c>
    </row>
    <row r="13" spans="2:6" x14ac:dyDescent="0.2">
      <c r="B13" s="347" t="s">
        <v>17</v>
      </c>
      <c r="C13" s="66" t="s">
        <v>421</v>
      </c>
      <c r="D13" s="126"/>
      <c r="E13" s="126">
        <v>4508</v>
      </c>
      <c r="F13" s="129"/>
    </row>
    <row r="14" spans="2:6" x14ac:dyDescent="0.2">
      <c r="B14" s="348"/>
      <c r="C14" s="66" t="s">
        <v>421</v>
      </c>
      <c r="D14" s="127"/>
      <c r="E14" s="127">
        <v>432</v>
      </c>
      <c r="F14" s="128"/>
    </row>
    <row r="15" spans="2:6" x14ac:dyDescent="0.2">
      <c r="B15" s="349"/>
      <c r="C15" s="15" t="s">
        <v>422</v>
      </c>
      <c r="D15" s="127"/>
      <c r="E15" s="127">
        <v>6542</v>
      </c>
      <c r="F15" s="128"/>
    </row>
    <row r="16" spans="2:6" ht="18" x14ac:dyDescent="0.2">
      <c r="B16" s="350" t="s">
        <v>46</v>
      </c>
      <c r="C16" s="351"/>
      <c r="D16" s="146">
        <f>F6*D9</f>
        <v>12056.34362773499</v>
      </c>
      <c r="E16" s="147">
        <f>SUM(E13:E15)</f>
        <v>11482</v>
      </c>
      <c r="F16" s="148">
        <f>E16-D16</f>
        <v>-574.34362773499015</v>
      </c>
    </row>
    <row r="17" spans="2:6" x14ac:dyDescent="0.2">
      <c r="B17" s="357" t="s">
        <v>18</v>
      </c>
      <c r="C17" s="143" t="s">
        <v>431</v>
      </c>
      <c r="D17" s="135"/>
      <c r="E17" s="135">
        <v>4771</v>
      </c>
      <c r="F17" s="136"/>
    </row>
    <row r="18" spans="2:6" x14ac:dyDescent="0.2">
      <c r="B18" s="357"/>
      <c r="C18" s="134" t="s">
        <v>432</v>
      </c>
      <c r="D18" s="135"/>
      <c r="E18" s="135">
        <v>18558</v>
      </c>
      <c r="F18" s="136"/>
    </row>
    <row r="19" spans="2:6" x14ac:dyDescent="0.2">
      <c r="B19" s="357"/>
      <c r="C19" s="134" t="s">
        <v>433</v>
      </c>
      <c r="D19" s="135"/>
      <c r="E19" s="135">
        <v>3474</v>
      </c>
      <c r="F19" s="136"/>
    </row>
    <row r="20" spans="2:6" x14ac:dyDescent="0.2">
      <c r="B20" s="357"/>
      <c r="C20" s="134" t="s">
        <v>434</v>
      </c>
      <c r="D20" s="135"/>
      <c r="E20" s="135">
        <v>1177</v>
      </c>
      <c r="F20" s="136"/>
    </row>
    <row r="21" spans="2:6" x14ac:dyDescent="0.2">
      <c r="B21" s="357"/>
      <c r="C21" s="134" t="s">
        <v>435</v>
      </c>
      <c r="D21" s="135"/>
      <c r="E21" s="135">
        <v>2655</v>
      </c>
      <c r="F21" s="136"/>
    </row>
    <row r="22" spans="2:6" x14ac:dyDescent="0.2">
      <c r="B22" s="357"/>
      <c r="C22" s="134" t="s">
        <v>436</v>
      </c>
      <c r="D22" s="135"/>
      <c r="E22" s="135">
        <v>2358</v>
      </c>
      <c r="F22" s="136"/>
    </row>
    <row r="23" spans="2:6" x14ac:dyDescent="0.2">
      <c r="B23" s="357"/>
      <c r="C23" s="134" t="s">
        <v>437</v>
      </c>
      <c r="D23" s="135"/>
      <c r="E23" s="135">
        <v>1552</v>
      </c>
      <c r="F23" s="136"/>
    </row>
    <row r="24" spans="2:6" x14ac:dyDescent="0.2">
      <c r="B24" s="357"/>
      <c r="C24" s="134" t="s">
        <v>438</v>
      </c>
      <c r="D24" s="135"/>
      <c r="E24" s="135">
        <v>308</v>
      </c>
      <c r="F24" s="136"/>
    </row>
    <row r="25" spans="2:6" x14ac:dyDescent="0.2">
      <c r="B25" s="357"/>
      <c r="C25" s="134" t="s">
        <v>439</v>
      </c>
      <c r="D25" s="135"/>
      <c r="E25" s="135">
        <v>1360</v>
      </c>
      <c r="F25" s="136"/>
    </row>
    <row r="26" spans="2:6" x14ac:dyDescent="0.2">
      <c r="B26" s="357"/>
      <c r="C26" s="134" t="s">
        <v>440</v>
      </c>
      <c r="D26" s="135"/>
      <c r="E26" s="135">
        <v>847</v>
      </c>
      <c r="F26" s="136"/>
    </row>
    <row r="27" spans="2:6" x14ac:dyDescent="0.2">
      <c r="B27" s="357"/>
      <c r="C27" s="134" t="s">
        <v>441</v>
      </c>
      <c r="D27" s="135"/>
      <c r="E27" s="135">
        <v>5144</v>
      </c>
      <c r="F27" s="136"/>
    </row>
    <row r="28" spans="2:6" x14ac:dyDescent="0.2">
      <c r="B28" s="357"/>
      <c r="C28" s="134" t="s">
        <v>442</v>
      </c>
      <c r="D28" s="135"/>
      <c r="E28" s="135">
        <v>7528</v>
      </c>
      <c r="F28" s="136"/>
    </row>
    <row r="29" spans="2:6" ht="57" customHeight="1" x14ac:dyDescent="0.2">
      <c r="B29" s="357"/>
      <c r="C29" s="140" t="s">
        <v>783</v>
      </c>
      <c r="D29" s="141">
        <f>D7*F7</f>
        <v>5048.9012614494686</v>
      </c>
      <c r="E29" s="141">
        <f>SUM(E17:E28)</f>
        <v>49732</v>
      </c>
      <c r="F29" s="142">
        <f>E29-D29</f>
        <v>44683.098738550529</v>
      </c>
    </row>
    <row r="30" spans="2:6" x14ac:dyDescent="0.2">
      <c r="B30" s="357"/>
      <c r="C30" s="130" t="s">
        <v>443</v>
      </c>
      <c r="D30" s="131"/>
      <c r="E30" s="131">
        <v>1691</v>
      </c>
      <c r="F30" s="132"/>
    </row>
    <row r="31" spans="2:6" x14ac:dyDescent="0.2">
      <c r="B31" s="357"/>
      <c r="C31" s="130" t="s">
        <v>443</v>
      </c>
      <c r="D31" s="131"/>
      <c r="E31" s="131">
        <v>523</v>
      </c>
      <c r="F31" s="133"/>
    </row>
    <row r="32" spans="2:6" x14ac:dyDescent="0.2">
      <c r="B32" s="357"/>
      <c r="C32" s="130" t="s">
        <v>444</v>
      </c>
      <c r="D32" s="131"/>
      <c r="E32" s="131">
        <v>517</v>
      </c>
      <c r="F32" s="133"/>
    </row>
    <row r="33" spans="2:6" x14ac:dyDescent="0.2">
      <c r="B33" s="357"/>
      <c r="C33" s="130" t="s">
        <v>445</v>
      </c>
      <c r="D33" s="131"/>
      <c r="E33" s="131">
        <v>666</v>
      </c>
      <c r="F33" s="133"/>
    </row>
    <row r="34" spans="2:6" x14ac:dyDescent="0.2">
      <c r="B34" s="357"/>
      <c r="C34" s="130" t="s">
        <v>446</v>
      </c>
      <c r="D34" s="131"/>
      <c r="E34" s="131">
        <v>504</v>
      </c>
      <c r="F34" s="133"/>
    </row>
    <row r="35" spans="2:6" x14ac:dyDescent="0.2">
      <c r="B35" s="357"/>
      <c r="C35" s="130" t="s">
        <v>447</v>
      </c>
      <c r="D35" s="131"/>
      <c r="E35" s="131">
        <v>1879</v>
      </c>
      <c r="F35" s="133"/>
    </row>
    <row r="36" spans="2:6" x14ac:dyDescent="0.2">
      <c r="B36" s="357"/>
      <c r="C36" s="130" t="s">
        <v>448</v>
      </c>
      <c r="D36" s="131"/>
      <c r="E36" s="131">
        <v>1137</v>
      </c>
      <c r="F36" s="133"/>
    </row>
    <row r="37" spans="2:6" x14ac:dyDescent="0.2">
      <c r="B37" s="357"/>
      <c r="C37" s="130" t="s">
        <v>449</v>
      </c>
      <c r="D37" s="131"/>
      <c r="E37" s="131">
        <v>933</v>
      </c>
      <c r="F37" s="133"/>
    </row>
    <row r="38" spans="2:6" x14ac:dyDescent="0.2">
      <c r="B38" s="357"/>
      <c r="C38" s="130" t="s">
        <v>450</v>
      </c>
      <c r="D38" s="131"/>
      <c r="E38" s="131">
        <v>527</v>
      </c>
      <c r="F38" s="133"/>
    </row>
    <row r="39" spans="2:6" x14ac:dyDescent="0.2">
      <c r="B39" s="357"/>
      <c r="C39" s="130" t="s">
        <v>450</v>
      </c>
      <c r="D39" s="131"/>
      <c r="E39" s="131">
        <v>542</v>
      </c>
      <c r="F39" s="133"/>
    </row>
    <row r="40" spans="2:6" ht="15" x14ac:dyDescent="0.2">
      <c r="B40" s="357"/>
      <c r="C40" s="137" t="s">
        <v>782</v>
      </c>
      <c r="D40" s="138">
        <f>D6*F7</f>
        <v>309.47368421052636</v>
      </c>
      <c r="E40" s="158">
        <f>SUM(E30:E39)</f>
        <v>8919</v>
      </c>
      <c r="F40" s="139">
        <f>E40-D40</f>
        <v>8609.5263157894733</v>
      </c>
    </row>
    <row r="41" spans="2:6" ht="18" x14ac:dyDescent="0.2">
      <c r="B41" s="352" t="s">
        <v>451</v>
      </c>
      <c r="C41" s="353"/>
      <c r="D41" s="144">
        <f>D9*F7</f>
        <v>5358.3749456599953</v>
      </c>
      <c r="E41" s="145">
        <f>E40+E29</f>
        <v>58651</v>
      </c>
      <c r="F41" s="145">
        <f>E41-D41</f>
        <v>53292.625054340002</v>
      </c>
    </row>
    <row r="42" spans="2:6" x14ac:dyDescent="0.2">
      <c r="B42" s="356" t="s">
        <v>19</v>
      </c>
      <c r="C42" s="143" t="s">
        <v>452</v>
      </c>
      <c r="D42" s="135"/>
      <c r="E42" s="135">
        <v>13756</v>
      </c>
      <c r="F42" s="136"/>
    </row>
    <row r="43" spans="2:6" x14ac:dyDescent="0.2">
      <c r="B43" s="356"/>
      <c r="C43" s="134" t="s">
        <v>453</v>
      </c>
      <c r="D43" s="135"/>
      <c r="E43" s="135">
        <v>4418</v>
      </c>
      <c r="F43" s="136"/>
    </row>
    <row r="44" spans="2:6" x14ac:dyDescent="0.2">
      <c r="B44" s="356"/>
      <c r="C44" s="134" t="s">
        <v>454</v>
      </c>
      <c r="D44" s="135"/>
      <c r="E44" s="135">
        <v>15170</v>
      </c>
      <c r="F44" s="136"/>
    </row>
    <row r="45" spans="2:6" x14ac:dyDescent="0.2">
      <c r="B45" s="356"/>
      <c r="C45" s="134" t="s">
        <v>455</v>
      </c>
      <c r="D45" s="135"/>
      <c r="E45" s="135">
        <v>589.46</v>
      </c>
      <c r="F45" s="136"/>
    </row>
    <row r="46" spans="2:6" x14ac:dyDescent="0.2">
      <c r="B46" s="356"/>
      <c r="C46" s="134" t="s">
        <v>456</v>
      </c>
      <c r="D46" s="135"/>
      <c r="E46" s="135">
        <v>4258</v>
      </c>
      <c r="F46" s="136"/>
    </row>
    <row r="47" spans="2:6" x14ac:dyDescent="0.2">
      <c r="B47" s="356"/>
      <c r="C47" s="134" t="s">
        <v>457</v>
      </c>
      <c r="D47" s="135"/>
      <c r="E47" s="135">
        <v>3900</v>
      </c>
      <c r="F47" s="136"/>
    </row>
    <row r="48" spans="2:6" x14ac:dyDescent="0.2">
      <c r="B48" s="356"/>
      <c r="C48" s="134" t="s">
        <v>458</v>
      </c>
      <c r="D48" s="135"/>
      <c r="E48" s="135">
        <v>2050</v>
      </c>
      <c r="F48" s="136"/>
    </row>
    <row r="49" spans="2:6" x14ac:dyDescent="0.2">
      <c r="B49" s="356"/>
      <c r="C49" s="134" t="s">
        <v>459</v>
      </c>
      <c r="D49" s="135"/>
      <c r="E49" s="135">
        <v>2424</v>
      </c>
      <c r="F49" s="136"/>
    </row>
    <row r="50" spans="2:6" x14ac:dyDescent="0.2">
      <c r="B50" s="356"/>
      <c r="C50" s="134" t="s">
        <v>460</v>
      </c>
      <c r="D50" s="135"/>
      <c r="E50" s="135">
        <v>1161</v>
      </c>
      <c r="F50" s="136"/>
    </row>
    <row r="51" spans="2:6" x14ac:dyDescent="0.2">
      <c r="B51" s="356"/>
      <c r="C51" s="134" t="s">
        <v>461</v>
      </c>
      <c r="D51" s="135"/>
      <c r="E51" s="135">
        <v>404</v>
      </c>
      <c r="F51" s="136"/>
    </row>
    <row r="52" spans="2:6" x14ac:dyDescent="0.2">
      <c r="B52" s="356"/>
      <c r="C52" s="134" t="s">
        <v>462</v>
      </c>
      <c r="D52" s="135"/>
      <c r="E52" s="135">
        <v>459</v>
      </c>
      <c r="F52" s="136"/>
    </row>
    <row r="53" spans="2:6" x14ac:dyDescent="0.2">
      <c r="B53" s="356"/>
      <c r="C53" s="134" t="s">
        <v>463</v>
      </c>
      <c r="D53" s="135"/>
      <c r="E53" s="135">
        <v>392</v>
      </c>
      <c r="F53" s="136"/>
    </row>
    <row r="54" spans="2:6" x14ac:dyDescent="0.2">
      <c r="B54" s="356"/>
      <c r="C54" s="134" t="s">
        <v>464</v>
      </c>
      <c r="D54" s="135"/>
      <c r="E54" s="135">
        <v>6157</v>
      </c>
      <c r="F54" s="136"/>
    </row>
    <row r="55" spans="2:6" x14ac:dyDescent="0.2">
      <c r="B55" s="356"/>
      <c r="C55" s="134" t="s">
        <v>465</v>
      </c>
      <c r="D55" s="135"/>
      <c r="E55" s="135">
        <v>11045</v>
      </c>
      <c r="F55" s="136"/>
    </row>
    <row r="56" spans="2:6" x14ac:dyDescent="0.2">
      <c r="B56" s="356"/>
      <c r="C56" s="134" t="s">
        <v>466</v>
      </c>
      <c r="D56" s="135"/>
      <c r="E56" s="135">
        <v>949</v>
      </c>
      <c r="F56" s="136"/>
    </row>
    <row r="57" spans="2:6" x14ac:dyDescent="0.2">
      <c r="B57" s="356"/>
      <c r="C57" s="134" t="s">
        <v>467</v>
      </c>
      <c r="D57" s="135"/>
      <c r="E57" s="135">
        <v>15511</v>
      </c>
      <c r="F57" s="136"/>
    </row>
    <row r="58" spans="2:6" x14ac:dyDescent="0.2">
      <c r="B58" s="356"/>
      <c r="C58" s="134" t="s">
        <v>468</v>
      </c>
      <c r="D58" s="135"/>
      <c r="E58" s="135">
        <v>16739</v>
      </c>
      <c r="F58" s="136"/>
    </row>
    <row r="59" spans="2:6" x14ac:dyDescent="0.2">
      <c r="B59" s="356"/>
      <c r="C59" s="134" t="s">
        <v>469</v>
      </c>
      <c r="D59" s="135"/>
      <c r="E59" s="135">
        <v>7287</v>
      </c>
      <c r="F59" s="136"/>
    </row>
    <row r="60" spans="2:6" x14ac:dyDescent="0.2">
      <c r="B60" s="356"/>
      <c r="C60" s="134" t="s">
        <v>470</v>
      </c>
      <c r="D60" s="135"/>
      <c r="E60" s="135">
        <v>3777</v>
      </c>
      <c r="F60" s="136"/>
    </row>
    <row r="61" spans="2:6" x14ac:dyDescent="0.2">
      <c r="B61" s="356"/>
      <c r="C61" s="134" t="s">
        <v>471</v>
      </c>
      <c r="D61" s="135"/>
      <c r="E61" s="135">
        <v>859</v>
      </c>
      <c r="F61" s="136"/>
    </row>
    <row r="62" spans="2:6" x14ac:dyDescent="0.2">
      <c r="B62" s="356"/>
      <c r="C62" s="134" t="s">
        <v>472</v>
      </c>
      <c r="D62" s="135"/>
      <c r="E62" s="135">
        <v>1819</v>
      </c>
      <c r="F62" s="136"/>
    </row>
    <row r="63" spans="2:6" x14ac:dyDescent="0.2">
      <c r="B63" s="356"/>
      <c r="C63" s="134" t="s">
        <v>473</v>
      </c>
      <c r="D63" s="135"/>
      <c r="E63" s="135">
        <v>6577</v>
      </c>
      <c r="F63" s="136"/>
    </row>
    <row r="64" spans="2:6" x14ac:dyDescent="0.2">
      <c r="B64" s="356"/>
      <c r="C64" s="134" t="s">
        <v>474</v>
      </c>
      <c r="D64" s="135"/>
      <c r="E64" s="135">
        <v>1524</v>
      </c>
      <c r="F64" s="136"/>
    </row>
    <row r="65" spans="2:6" x14ac:dyDescent="0.2">
      <c r="B65" s="356"/>
      <c r="C65" s="134" t="s">
        <v>475</v>
      </c>
      <c r="D65" s="135"/>
      <c r="E65" s="135">
        <v>8547</v>
      </c>
      <c r="F65" s="136"/>
    </row>
    <row r="66" spans="2:6" x14ac:dyDescent="0.2">
      <c r="B66" s="356"/>
      <c r="C66" s="134" t="s">
        <v>476</v>
      </c>
      <c r="D66" s="135"/>
      <c r="E66" s="135">
        <v>4209</v>
      </c>
      <c r="F66" s="136"/>
    </row>
    <row r="67" spans="2:6" x14ac:dyDescent="0.2">
      <c r="B67" s="356"/>
      <c r="C67" s="134" t="s">
        <v>477</v>
      </c>
      <c r="D67" s="135"/>
      <c r="E67" s="135">
        <v>1808</v>
      </c>
      <c r="F67" s="136"/>
    </row>
    <row r="68" spans="2:6" ht="30" x14ac:dyDescent="0.2">
      <c r="B68" s="356"/>
      <c r="C68" s="140" t="s">
        <v>783</v>
      </c>
      <c r="D68" s="141">
        <f>D7*F8</f>
        <v>22720.05567652261</v>
      </c>
      <c r="E68" s="141">
        <f>SUM(E42:E67)</f>
        <v>135789.46</v>
      </c>
      <c r="F68" s="142">
        <f>E68-D68</f>
        <v>113069.40432347739</v>
      </c>
    </row>
    <row r="69" spans="2:6" x14ac:dyDescent="0.2">
      <c r="B69" s="356"/>
      <c r="C69" s="130" t="s">
        <v>478</v>
      </c>
      <c r="D69" s="131"/>
      <c r="E69" s="131">
        <v>390</v>
      </c>
      <c r="F69" s="132"/>
    </row>
    <row r="70" spans="2:6" x14ac:dyDescent="0.2">
      <c r="B70" s="356"/>
      <c r="C70" s="130" t="s">
        <v>478</v>
      </c>
      <c r="D70" s="131"/>
      <c r="E70" s="131">
        <v>1575</v>
      </c>
      <c r="F70" s="132"/>
    </row>
    <row r="71" spans="2:6" x14ac:dyDescent="0.2">
      <c r="B71" s="356"/>
      <c r="C71" s="130" t="s">
        <v>479</v>
      </c>
      <c r="D71" s="131"/>
      <c r="E71" s="131">
        <v>2489</v>
      </c>
      <c r="F71" s="132"/>
    </row>
    <row r="72" spans="2:6" x14ac:dyDescent="0.2">
      <c r="B72" s="356"/>
      <c r="C72" s="130" t="s">
        <v>479</v>
      </c>
      <c r="D72" s="131"/>
      <c r="E72" s="131">
        <v>10401</v>
      </c>
      <c r="F72" s="132"/>
    </row>
    <row r="73" spans="2:6" x14ac:dyDescent="0.2">
      <c r="B73" s="356"/>
      <c r="C73" s="130" t="s">
        <v>479</v>
      </c>
      <c r="D73" s="131"/>
      <c r="E73" s="131">
        <v>544</v>
      </c>
      <c r="F73" s="132"/>
    </row>
    <row r="74" spans="2:6" x14ac:dyDescent="0.2">
      <c r="B74" s="356"/>
      <c r="C74" s="130" t="s">
        <v>480</v>
      </c>
      <c r="D74" s="131"/>
      <c r="E74" s="131">
        <v>1377</v>
      </c>
      <c r="F74" s="132"/>
    </row>
    <row r="75" spans="2:6" x14ac:dyDescent="0.2">
      <c r="B75" s="356"/>
      <c r="C75" s="130" t="s">
        <v>480</v>
      </c>
      <c r="D75" s="131"/>
      <c r="E75" s="131">
        <v>1492</v>
      </c>
      <c r="F75" s="132"/>
    </row>
    <row r="76" spans="2:6" x14ac:dyDescent="0.2">
      <c r="B76" s="356"/>
      <c r="C76" s="130" t="s">
        <v>481</v>
      </c>
      <c r="D76" s="131"/>
      <c r="E76" s="131">
        <v>1823</v>
      </c>
      <c r="F76" s="132"/>
    </row>
    <row r="77" spans="2:6" x14ac:dyDescent="0.2">
      <c r="B77" s="356"/>
      <c r="C77" s="130" t="s">
        <v>482</v>
      </c>
      <c r="D77" s="131"/>
      <c r="E77" s="131">
        <v>2365</v>
      </c>
      <c r="F77" s="132"/>
    </row>
    <row r="78" spans="2:6" x14ac:dyDescent="0.2">
      <c r="B78" s="356"/>
      <c r="C78" s="130" t="s">
        <v>482</v>
      </c>
      <c r="D78" s="131"/>
      <c r="E78" s="131">
        <v>1290</v>
      </c>
      <c r="F78" s="132"/>
    </row>
    <row r="79" spans="2:6" x14ac:dyDescent="0.2">
      <c r="B79" s="356"/>
      <c r="C79" s="130" t="s">
        <v>482</v>
      </c>
      <c r="D79" s="131"/>
      <c r="E79" s="131">
        <v>1608</v>
      </c>
      <c r="F79" s="132"/>
    </row>
    <row r="80" spans="2:6" x14ac:dyDescent="0.2">
      <c r="B80" s="356"/>
      <c r="C80" s="130" t="s">
        <v>482</v>
      </c>
      <c r="D80" s="131"/>
      <c r="E80" s="131">
        <v>3723</v>
      </c>
      <c r="F80" s="132"/>
    </row>
    <row r="81" spans="2:6" x14ac:dyDescent="0.2">
      <c r="B81" s="356"/>
      <c r="C81" s="130" t="s">
        <v>482</v>
      </c>
      <c r="D81" s="131"/>
      <c r="E81" s="131">
        <v>879</v>
      </c>
      <c r="F81" s="132"/>
    </row>
    <row r="82" spans="2:6" x14ac:dyDescent="0.2">
      <c r="B82" s="356"/>
      <c r="C82" s="131" t="s">
        <v>858</v>
      </c>
      <c r="D82" s="131"/>
      <c r="E82" s="131">
        <v>471</v>
      </c>
      <c r="F82" s="132"/>
    </row>
    <row r="83" spans="2:6" x14ac:dyDescent="0.2">
      <c r="B83" s="356"/>
      <c r="C83" s="131" t="s">
        <v>858</v>
      </c>
      <c r="D83" s="131"/>
      <c r="E83" s="131">
        <v>681</v>
      </c>
      <c r="F83" s="132"/>
    </row>
    <row r="84" spans="2:6" x14ac:dyDescent="0.2">
      <c r="B84" s="356"/>
      <c r="C84" s="130" t="s">
        <v>483</v>
      </c>
      <c r="D84" s="131"/>
      <c r="E84" s="131">
        <v>2073</v>
      </c>
      <c r="F84" s="132"/>
    </row>
    <row r="85" spans="2:6" x14ac:dyDescent="0.2">
      <c r="B85" s="356"/>
      <c r="C85" s="130" t="s">
        <v>483</v>
      </c>
      <c r="D85" s="131"/>
      <c r="E85" s="131">
        <v>2928</v>
      </c>
      <c r="F85" s="132"/>
    </row>
    <row r="86" spans="2:6" x14ac:dyDescent="0.2">
      <c r="B86" s="356"/>
      <c r="C86" s="130" t="s">
        <v>484</v>
      </c>
      <c r="D86" s="131"/>
      <c r="E86" s="131">
        <v>473</v>
      </c>
      <c r="F86" s="132"/>
    </row>
    <row r="87" spans="2:6" x14ac:dyDescent="0.2">
      <c r="B87" s="356"/>
      <c r="C87" s="130" t="s">
        <v>485</v>
      </c>
      <c r="D87" s="131"/>
      <c r="E87" s="131">
        <v>42</v>
      </c>
      <c r="F87" s="132"/>
    </row>
    <row r="88" spans="2:6" x14ac:dyDescent="0.2">
      <c r="B88" s="356"/>
      <c r="C88" s="130" t="s">
        <v>486</v>
      </c>
      <c r="D88" s="131"/>
      <c r="E88" s="131">
        <v>14524</v>
      </c>
      <c r="F88" s="132"/>
    </row>
    <row r="89" spans="2:6" x14ac:dyDescent="0.2">
      <c r="B89" s="356"/>
      <c r="C89" s="130" t="s">
        <v>486</v>
      </c>
      <c r="D89" s="131"/>
      <c r="E89" s="131">
        <v>1457</v>
      </c>
      <c r="F89" s="132"/>
    </row>
    <row r="90" spans="2:6" ht="15" x14ac:dyDescent="0.2">
      <c r="B90" s="356"/>
      <c r="C90" s="137" t="s">
        <v>784</v>
      </c>
      <c r="D90" s="138">
        <f>D6*F8</f>
        <v>1392.6315789473686</v>
      </c>
      <c r="E90" s="158">
        <f>SUM(E69:E89)</f>
        <v>52605</v>
      </c>
      <c r="F90" s="139">
        <f>E90-D90</f>
        <v>51212.368421052633</v>
      </c>
    </row>
    <row r="91" spans="2:6" ht="18" x14ac:dyDescent="0.2">
      <c r="B91" s="354" t="s">
        <v>47</v>
      </c>
      <c r="C91" s="355"/>
      <c r="D91" s="149">
        <f>D9*F8</f>
        <v>24112.68725546998</v>
      </c>
      <c r="E91" s="150">
        <f>E90+E68</f>
        <v>188394.46</v>
      </c>
      <c r="F91" s="151">
        <f>E91-D91</f>
        <v>164281.77274453</v>
      </c>
    </row>
    <row r="92" spans="2:6" x14ac:dyDescent="0.2">
      <c r="B92" s="357" t="s">
        <v>20</v>
      </c>
      <c r="C92" s="143" t="s">
        <v>487</v>
      </c>
      <c r="D92" s="135"/>
      <c r="E92" s="135">
        <v>2096</v>
      </c>
      <c r="F92" s="136"/>
    </row>
    <row r="93" spans="2:6" x14ac:dyDescent="0.2">
      <c r="B93" s="357"/>
      <c r="C93" s="134" t="s">
        <v>488</v>
      </c>
      <c r="D93" s="135"/>
      <c r="E93" s="135">
        <v>5967</v>
      </c>
      <c r="F93" s="136"/>
    </row>
    <row r="94" spans="2:6" x14ac:dyDescent="0.2">
      <c r="B94" s="357"/>
      <c r="C94" s="134" t="s">
        <v>489</v>
      </c>
      <c r="D94" s="135"/>
      <c r="E94" s="135">
        <v>772</v>
      </c>
      <c r="F94" s="136"/>
    </row>
    <row r="95" spans="2:6" x14ac:dyDescent="0.2">
      <c r="B95" s="357"/>
      <c r="C95" s="134" t="s">
        <v>490</v>
      </c>
      <c r="D95" s="135"/>
      <c r="E95" s="135">
        <v>2031</v>
      </c>
      <c r="F95" s="136"/>
    </row>
    <row r="96" spans="2:6" x14ac:dyDescent="0.2">
      <c r="B96" s="357"/>
      <c r="C96" s="134" t="s">
        <v>491</v>
      </c>
      <c r="D96" s="135"/>
      <c r="E96" s="135">
        <v>9368.7360000000008</v>
      </c>
      <c r="F96" s="136"/>
    </row>
    <row r="97" spans="2:6" x14ac:dyDescent="0.2">
      <c r="B97" s="357"/>
      <c r="C97" s="134" t="s">
        <v>492</v>
      </c>
      <c r="D97" s="135"/>
      <c r="E97" s="135">
        <v>112.96</v>
      </c>
      <c r="F97" s="136"/>
    </row>
    <row r="98" spans="2:6" x14ac:dyDescent="0.2">
      <c r="B98" s="357"/>
      <c r="C98" s="134" t="s">
        <v>493</v>
      </c>
      <c r="D98" s="135"/>
      <c r="E98" s="135">
        <v>396</v>
      </c>
      <c r="F98" s="136"/>
    </row>
    <row r="99" spans="2:6" x14ac:dyDescent="0.2">
      <c r="B99" s="357"/>
      <c r="C99" s="134" t="s">
        <v>494</v>
      </c>
      <c r="D99" s="135"/>
      <c r="E99" s="135">
        <v>1680</v>
      </c>
      <c r="F99" s="136"/>
    </row>
    <row r="100" spans="2:6" x14ac:dyDescent="0.2">
      <c r="B100" s="357"/>
      <c r="C100" s="134" t="s">
        <v>495</v>
      </c>
      <c r="D100" s="135"/>
      <c r="E100" s="135">
        <v>1780</v>
      </c>
      <c r="F100" s="136"/>
    </row>
    <row r="101" spans="2:6" x14ac:dyDescent="0.2">
      <c r="B101" s="357"/>
      <c r="C101" s="134" t="s">
        <v>496</v>
      </c>
      <c r="D101" s="135"/>
      <c r="E101" s="135">
        <v>6226</v>
      </c>
      <c r="F101" s="136"/>
    </row>
    <row r="102" spans="2:6" x14ac:dyDescent="0.2">
      <c r="B102" s="357"/>
      <c r="C102" s="134" t="s">
        <v>497</v>
      </c>
      <c r="D102" s="135"/>
      <c r="E102" s="135">
        <v>2082</v>
      </c>
      <c r="F102" s="136"/>
    </row>
    <row r="103" spans="2:6" x14ac:dyDescent="0.2">
      <c r="B103" s="357"/>
      <c r="C103" s="134" t="s">
        <v>498</v>
      </c>
      <c r="D103" s="135"/>
      <c r="E103" s="135">
        <v>3587</v>
      </c>
      <c r="F103" s="136"/>
    </row>
    <row r="104" spans="2:6" x14ac:dyDescent="0.2">
      <c r="B104" s="357"/>
      <c r="C104" s="134" t="s">
        <v>499</v>
      </c>
      <c r="D104" s="135"/>
      <c r="E104" s="135">
        <v>2458</v>
      </c>
      <c r="F104" s="136"/>
    </row>
    <row r="105" spans="2:6" ht="30" x14ac:dyDescent="0.2">
      <c r="B105" s="357"/>
      <c r="C105" s="140" t="s">
        <v>783</v>
      </c>
      <c r="D105" s="141">
        <f>D7*F9</f>
        <v>6311.1265768118355</v>
      </c>
      <c r="E105" s="141">
        <f>SUM(E92:E104)</f>
        <v>38556.695999999996</v>
      </c>
      <c r="F105" s="142">
        <f>E105-D105</f>
        <v>32245.569423188161</v>
      </c>
    </row>
    <row r="106" spans="2:6" x14ac:dyDescent="0.2">
      <c r="B106" s="357"/>
      <c r="C106" s="130" t="s">
        <v>500</v>
      </c>
      <c r="D106" s="131"/>
      <c r="E106" s="131">
        <v>385</v>
      </c>
      <c r="F106" s="132"/>
    </row>
    <row r="107" spans="2:6" x14ac:dyDescent="0.2">
      <c r="B107" s="357"/>
      <c r="C107" s="130" t="s">
        <v>500</v>
      </c>
      <c r="D107" s="131"/>
      <c r="E107" s="131">
        <v>420</v>
      </c>
      <c r="F107" s="132"/>
    </row>
    <row r="108" spans="2:6" x14ac:dyDescent="0.2">
      <c r="B108" s="357"/>
      <c r="C108" s="130" t="s">
        <v>500</v>
      </c>
      <c r="D108" s="131"/>
      <c r="E108" s="131">
        <v>398</v>
      </c>
      <c r="F108" s="132"/>
    </row>
    <row r="109" spans="2:6" x14ac:dyDescent="0.2">
      <c r="B109" s="357"/>
      <c r="C109" s="130"/>
      <c r="D109" s="131"/>
      <c r="E109" s="131"/>
      <c r="F109" s="132"/>
    </row>
    <row r="110" spans="2:6" x14ac:dyDescent="0.2">
      <c r="B110" s="357"/>
      <c r="C110" s="130" t="s">
        <v>500</v>
      </c>
      <c r="D110" s="131"/>
      <c r="E110" s="131">
        <v>497</v>
      </c>
      <c r="F110" s="132"/>
    </row>
    <row r="111" spans="2:6" x14ac:dyDescent="0.2">
      <c r="B111" s="357"/>
      <c r="C111" s="130" t="s">
        <v>500</v>
      </c>
      <c r="D111" s="131"/>
      <c r="E111" s="131">
        <v>781</v>
      </c>
      <c r="F111" s="132"/>
    </row>
    <row r="112" spans="2:6" x14ac:dyDescent="0.2">
      <c r="B112" s="357"/>
      <c r="C112" s="130" t="s">
        <v>501</v>
      </c>
      <c r="D112" s="131"/>
      <c r="E112" s="131">
        <v>2078</v>
      </c>
      <c r="F112" s="132"/>
    </row>
    <row r="113" spans="2:6" x14ac:dyDescent="0.2">
      <c r="B113" s="357"/>
      <c r="C113" s="130" t="s">
        <v>501</v>
      </c>
      <c r="D113" s="131"/>
      <c r="E113" s="131">
        <v>867</v>
      </c>
      <c r="F113" s="132"/>
    </row>
    <row r="114" spans="2:6" x14ac:dyDescent="0.2">
      <c r="B114" s="357"/>
      <c r="C114" s="130" t="s">
        <v>501</v>
      </c>
      <c r="D114" s="131"/>
      <c r="E114" s="131">
        <v>1100</v>
      </c>
      <c r="F114" s="132"/>
    </row>
    <row r="115" spans="2:6" x14ac:dyDescent="0.2">
      <c r="B115" s="357"/>
      <c r="C115" s="130" t="s">
        <v>501</v>
      </c>
      <c r="D115" s="131"/>
      <c r="E115" s="131">
        <v>1050</v>
      </c>
      <c r="F115" s="132"/>
    </row>
    <row r="116" spans="2:6" x14ac:dyDescent="0.2">
      <c r="B116" s="357"/>
      <c r="C116" s="130" t="s">
        <v>501</v>
      </c>
      <c r="D116" s="131"/>
      <c r="E116" s="131">
        <v>1012</v>
      </c>
      <c r="F116" s="132"/>
    </row>
    <row r="117" spans="2:6" x14ac:dyDescent="0.2">
      <c r="B117" s="357"/>
      <c r="C117" s="130" t="s">
        <v>502</v>
      </c>
      <c r="D117" s="131"/>
      <c r="E117" s="131">
        <v>1163.8839190000001</v>
      </c>
      <c r="F117" s="132"/>
    </row>
    <row r="118" spans="2:6" x14ac:dyDescent="0.2">
      <c r="B118" s="357"/>
      <c r="C118" s="130" t="s">
        <v>503</v>
      </c>
      <c r="D118" s="131"/>
      <c r="E118" s="131">
        <v>595</v>
      </c>
      <c r="F118" s="132"/>
    </row>
    <row r="119" spans="2:6" x14ac:dyDescent="0.2">
      <c r="B119" s="357"/>
      <c r="C119" s="130" t="s">
        <v>504</v>
      </c>
      <c r="D119" s="131"/>
      <c r="E119" s="131">
        <v>1727</v>
      </c>
      <c r="F119" s="132"/>
    </row>
    <row r="120" spans="2:6" x14ac:dyDescent="0.2">
      <c r="B120" s="357"/>
      <c r="C120" s="130" t="s">
        <v>504</v>
      </c>
      <c r="D120" s="131"/>
      <c r="E120" s="131">
        <v>90</v>
      </c>
      <c r="F120" s="132"/>
    </row>
    <row r="121" spans="2:6" x14ac:dyDescent="0.2">
      <c r="B121" s="357"/>
      <c r="C121" s="130" t="s">
        <v>504</v>
      </c>
      <c r="D121" s="131"/>
      <c r="E121" s="131">
        <v>1606</v>
      </c>
      <c r="F121" s="132"/>
    </row>
    <row r="122" spans="2:6" x14ac:dyDescent="0.2">
      <c r="B122" s="357"/>
      <c r="C122" s="130" t="s">
        <v>505</v>
      </c>
      <c r="D122" s="131"/>
      <c r="E122" s="131">
        <v>485</v>
      </c>
      <c r="F122" s="132"/>
    </row>
    <row r="123" spans="2:6" x14ac:dyDescent="0.2">
      <c r="B123" s="357"/>
      <c r="C123" s="130" t="s">
        <v>505</v>
      </c>
      <c r="D123" s="131"/>
      <c r="E123" s="131">
        <v>228</v>
      </c>
      <c r="F123" s="132"/>
    </row>
    <row r="124" spans="2:6" ht="15" x14ac:dyDescent="0.2">
      <c r="B124" s="357"/>
      <c r="C124" s="137" t="s">
        <v>782</v>
      </c>
      <c r="D124" s="138">
        <f>D6*F9</f>
        <v>386.84210526315792</v>
      </c>
      <c r="E124" s="158">
        <f>SUM(E106:E123)</f>
        <v>14482.883919</v>
      </c>
      <c r="F124" s="139">
        <f>E124-D124</f>
        <v>14096.041813736842</v>
      </c>
    </row>
    <row r="125" spans="2:6" ht="18" x14ac:dyDescent="0.2">
      <c r="B125" s="264" t="s">
        <v>506</v>
      </c>
      <c r="C125" s="265"/>
      <c r="D125" s="152">
        <f>D9*F9</f>
        <v>6697.9686820749939</v>
      </c>
      <c r="E125" s="152">
        <f>E124+E105</f>
        <v>53039.579918999996</v>
      </c>
      <c r="F125" s="145">
        <f>E125-D125</f>
        <v>46341.611236925004</v>
      </c>
    </row>
    <row r="126" spans="2:6" x14ac:dyDescent="0.2">
      <c r="B126" s="67"/>
      <c r="C126" s="1"/>
      <c r="D126" s="1"/>
      <c r="E126" s="1"/>
      <c r="F126" s="68"/>
    </row>
    <row r="127" spans="2:6" ht="12.75" customHeight="1" x14ac:dyDescent="0.2">
      <c r="B127" s="339" t="s">
        <v>876</v>
      </c>
      <c r="C127" s="340"/>
      <c r="D127" s="340"/>
      <c r="E127" s="340"/>
      <c r="F127" s="341"/>
    </row>
    <row r="128" spans="2:6" x14ac:dyDescent="0.2">
      <c r="B128" s="339"/>
      <c r="C128" s="340"/>
      <c r="D128" s="340"/>
      <c r="E128" s="340"/>
      <c r="F128" s="341"/>
    </row>
    <row r="129" spans="2:6" x14ac:dyDescent="0.2">
      <c r="B129" s="339"/>
      <c r="C129" s="340"/>
      <c r="D129" s="340"/>
      <c r="E129" s="340"/>
      <c r="F129" s="341"/>
    </row>
    <row r="130" spans="2:6" x14ac:dyDescent="0.2">
      <c r="B130" s="339"/>
      <c r="C130" s="340"/>
      <c r="D130" s="340"/>
      <c r="E130" s="340"/>
      <c r="F130" s="341"/>
    </row>
    <row r="131" spans="2:6" x14ac:dyDescent="0.2">
      <c r="B131" s="339"/>
      <c r="C131" s="340"/>
      <c r="D131" s="340"/>
      <c r="E131" s="340"/>
      <c r="F131" s="341"/>
    </row>
    <row r="132" spans="2:6" x14ac:dyDescent="0.2">
      <c r="B132" s="339"/>
      <c r="C132" s="340"/>
      <c r="D132" s="340"/>
      <c r="E132" s="340"/>
      <c r="F132" s="341"/>
    </row>
    <row r="133" spans="2:6" x14ac:dyDescent="0.2">
      <c r="B133" s="339"/>
      <c r="C133" s="340"/>
      <c r="D133" s="340"/>
      <c r="E133" s="340"/>
      <c r="F133" s="341"/>
    </row>
    <row r="134" spans="2:6" x14ac:dyDescent="0.2">
      <c r="B134" s="339"/>
      <c r="C134" s="340"/>
      <c r="D134" s="340"/>
      <c r="E134" s="340"/>
      <c r="F134" s="341"/>
    </row>
    <row r="135" spans="2:6" x14ac:dyDescent="0.2">
      <c r="B135" s="339"/>
      <c r="C135" s="340"/>
      <c r="D135" s="340"/>
      <c r="E135" s="340"/>
      <c r="F135" s="341"/>
    </row>
    <row r="136" spans="2:6" x14ac:dyDescent="0.2">
      <c r="B136" s="339"/>
      <c r="C136" s="340"/>
      <c r="D136" s="340"/>
      <c r="E136" s="340"/>
      <c r="F136" s="341"/>
    </row>
    <row r="137" spans="2:6" x14ac:dyDescent="0.2">
      <c r="B137" s="339"/>
      <c r="C137" s="340"/>
      <c r="D137" s="340"/>
      <c r="E137" s="340"/>
      <c r="F137" s="341"/>
    </row>
    <row r="138" spans="2:6" x14ac:dyDescent="0.2">
      <c r="B138" s="339"/>
      <c r="C138" s="340"/>
      <c r="D138" s="340"/>
      <c r="E138" s="340"/>
      <c r="F138" s="341"/>
    </row>
    <row r="139" spans="2:6" x14ac:dyDescent="0.2">
      <c r="B139" s="339"/>
      <c r="C139" s="340"/>
      <c r="D139" s="340"/>
      <c r="E139" s="340"/>
      <c r="F139" s="341"/>
    </row>
    <row r="140" spans="2:6" x14ac:dyDescent="0.2">
      <c r="B140" s="339"/>
      <c r="C140" s="340"/>
      <c r="D140" s="340"/>
      <c r="E140" s="340"/>
      <c r="F140" s="341"/>
    </row>
    <row r="141" spans="2:6" x14ac:dyDescent="0.2">
      <c r="B141" s="339"/>
      <c r="C141" s="340"/>
      <c r="D141" s="340"/>
      <c r="E141" s="340"/>
      <c r="F141" s="341"/>
    </row>
    <row r="142" spans="2:6" x14ac:dyDescent="0.2">
      <c r="B142" s="339"/>
      <c r="C142" s="340"/>
      <c r="D142" s="340"/>
      <c r="E142" s="340"/>
      <c r="F142" s="341"/>
    </row>
    <row r="143" spans="2:6" x14ac:dyDescent="0.2">
      <c r="B143" s="339"/>
      <c r="C143" s="340"/>
      <c r="D143" s="340"/>
      <c r="E143" s="340"/>
      <c r="F143" s="341"/>
    </row>
    <row r="144" spans="2:6" ht="13.5" thickBot="1" x14ac:dyDescent="0.25">
      <c r="B144" s="74"/>
      <c r="C144" s="75"/>
      <c r="D144" s="75"/>
      <c r="E144" s="75"/>
      <c r="F144" s="76"/>
    </row>
  </sheetData>
  <mergeCells count="11">
    <mergeCell ref="B127:F143"/>
    <mergeCell ref="B2:F2"/>
    <mergeCell ref="B3:F3"/>
    <mergeCell ref="B12:C12"/>
    <mergeCell ref="B13:B15"/>
    <mergeCell ref="B16:C16"/>
    <mergeCell ref="B41:C41"/>
    <mergeCell ref="B91:C91"/>
    <mergeCell ref="B42:B90"/>
    <mergeCell ref="B92:B124"/>
    <mergeCell ref="B17:B40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86"/>
  <sheetViews>
    <sheetView topLeftCell="A64" workbookViewId="0">
      <selection activeCell="G87" sqref="A1:G87"/>
    </sheetView>
  </sheetViews>
  <sheetFormatPr defaultRowHeight="12.75" x14ac:dyDescent="0.2"/>
  <cols>
    <col min="2" max="2" width="6.5703125" customWidth="1"/>
    <col min="3" max="3" width="41.5703125" customWidth="1"/>
    <col min="4" max="4" width="16.140625" customWidth="1"/>
    <col min="5" max="5" width="30.85546875" customWidth="1"/>
    <col min="6" max="6" width="17.7109375" customWidth="1"/>
  </cols>
  <sheetData>
    <row r="1" spans="2:6" ht="13.5" thickBot="1" x14ac:dyDescent="0.25"/>
    <row r="2" spans="2:6" ht="15.75" thickBot="1" x14ac:dyDescent="0.25">
      <c r="B2" s="342" t="s">
        <v>423</v>
      </c>
      <c r="C2" s="343"/>
      <c r="D2" s="343"/>
      <c r="E2" s="343"/>
      <c r="F2" s="361"/>
    </row>
    <row r="3" spans="2:6" ht="15.75" thickBot="1" x14ac:dyDescent="0.25">
      <c r="B3" s="342" t="s">
        <v>785</v>
      </c>
      <c r="C3" s="343"/>
      <c r="D3" s="343"/>
      <c r="E3" s="343"/>
      <c r="F3" s="361"/>
    </row>
    <row r="4" spans="2:6" ht="13.5" thickBot="1" x14ac:dyDescent="0.25">
      <c r="B4" s="67"/>
      <c r="C4" s="1"/>
      <c r="D4" s="1"/>
      <c r="E4" s="1"/>
      <c r="F4" s="77"/>
    </row>
    <row r="5" spans="2:6" ht="39" thickBot="1" x14ac:dyDescent="0.25">
      <c r="B5" s="67"/>
      <c r="C5" s="64" t="s">
        <v>0</v>
      </c>
      <c r="D5" s="2" t="s">
        <v>424</v>
      </c>
      <c r="E5" s="69"/>
      <c r="F5" s="124" t="s">
        <v>425</v>
      </c>
    </row>
    <row r="6" spans="2:6" x14ac:dyDescent="0.2">
      <c r="B6" s="67"/>
      <c r="C6" s="3" t="s">
        <v>4</v>
      </c>
      <c r="D6" s="115">
        <f>SUM('Proposta Dimensionamento'!N2)</f>
        <v>154.73684210526318</v>
      </c>
      <c r="E6" s="67" t="s">
        <v>426</v>
      </c>
      <c r="F6" s="124">
        <v>4.5</v>
      </c>
    </row>
    <row r="7" spans="2:6" x14ac:dyDescent="0.2">
      <c r="B7" s="67"/>
      <c r="C7" s="4" t="s">
        <v>779</v>
      </c>
      <c r="D7" s="116">
        <f>SUM('Proposta Dimensionamento'!N9)</f>
        <v>2223.1799999999998</v>
      </c>
      <c r="E7" s="67" t="s">
        <v>427</v>
      </c>
      <c r="F7" s="124">
        <v>2</v>
      </c>
    </row>
    <row r="8" spans="2:6" x14ac:dyDescent="0.2">
      <c r="B8" s="67"/>
      <c r="C8" s="70"/>
      <c r="D8" s="117"/>
      <c r="E8" s="67" t="s">
        <v>428</v>
      </c>
      <c r="F8" s="124">
        <v>9</v>
      </c>
    </row>
    <row r="9" spans="2:6" ht="13.5" thickBot="1" x14ac:dyDescent="0.25">
      <c r="B9" s="71"/>
      <c r="C9" s="5" t="s">
        <v>11</v>
      </c>
      <c r="D9" s="118">
        <f>D6+D7+D8</f>
        <v>2377.9168421052632</v>
      </c>
      <c r="E9" s="67" t="s">
        <v>429</v>
      </c>
      <c r="F9" s="124">
        <v>2.5</v>
      </c>
    </row>
    <row r="10" spans="2:6" ht="13.5" thickBot="1" x14ac:dyDescent="0.25">
      <c r="B10" s="71"/>
      <c r="C10" s="72"/>
      <c r="D10" s="72"/>
      <c r="E10" s="73" t="s">
        <v>430</v>
      </c>
      <c r="F10" s="125">
        <f>SUM(F6:F9)</f>
        <v>18</v>
      </c>
    </row>
    <row r="11" spans="2:6" ht="13.5" thickBot="1" x14ac:dyDescent="0.25">
      <c r="B11" s="67"/>
      <c r="C11" s="1"/>
      <c r="D11" s="1"/>
      <c r="E11" s="1"/>
      <c r="F11" s="77"/>
    </row>
    <row r="12" spans="2:6" ht="51.75" thickBot="1" x14ac:dyDescent="0.25">
      <c r="B12" s="345" t="s">
        <v>21</v>
      </c>
      <c r="C12" s="346"/>
      <c r="D12" s="6" t="s">
        <v>22</v>
      </c>
      <c r="E12" s="6" t="s">
        <v>23</v>
      </c>
      <c r="F12" s="65" t="s">
        <v>24</v>
      </c>
    </row>
    <row r="13" spans="2:6" x14ac:dyDescent="0.2">
      <c r="B13" s="347" t="s">
        <v>17</v>
      </c>
      <c r="C13" s="66" t="s">
        <v>421</v>
      </c>
      <c r="D13" s="126"/>
      <c r="E13" s="126">
        <v>4508</v>
      </c>
      <c r="F13" s="129"/>
    </row>
    <row r="14" spans="2:6" x14ac:dyDescent="0.2">
      <c r="B14" s="348"/>
      <c r="C14" s="66" t="s">
        <v>421</v>
      </c>
      <c r="D14" s="127"/>
      <c r="E14" s="127">
        <v>432</v>
      </c>
      <c r="F14" s="128"/>
    </row>
    <row r="15" spans="2:6" x14ac:dyDescent="0.2">
      <c r="B15" s="349"/>
      <c r="C15" s="15" t="s">
        <v>422</v>
      </c>
      <c r="D15" s="127"/>
      <c r="E15" s="127">
        <v>6542</v>
      </c>
      <c r="F15" s="128"/>
    </row>
    <row r="16" spans="2:6" ht="18" x14ac:dyDescent="0.2">
      <c r="B16" s="351" t="s">
        <v>46</v>
      </c>
      <c r="C16" s="351"/>
      <c r="D16" s="146">
        <f>F6*D9</f>
        <v>10700.625789473685</v>
      </c>
      <c r="E16" s="147">
        <f>SUM(E13:E15)</f>
        <v>11482</v>
      </c>
      <c r="F16" s="148">
        <f>E16-D16</f>
        <v>781.37421052631544</v>
      </c>
    </row>
    <row r="17" spans="2:6" x14ac:dyDescent="0.2">
      <c r="B17" s="357"/>
      <c r="C17" s="15" t="s">
        <v>443</v>
      </c>
      <c r="D17" s="127"/>
      <c r="E17" s="127">
        <v>1691</v>
      </c>
      <c r="F17" s="128"/>
    </row>
    <row r="18" spans="2:6" x14ac:dyDescent="0.2">
      <c r="B18" s="357"/>
      <c r="C18" s="15" t="s">
        <v>443</v>
      </c>
      <c r="D18" s="127"/>
      <c r="E18" s="127">
        <v>523</v>
      </c>
      <c r="F18" s="153"/>
    </row>
    <row r="19" spans="2:6" x14ac:dyDescent="0.2">
      <c r="B19" s="357"/>
      <c r="C19" s="15" t="s">
        <v>444</v>
      </c>
      <c r="D19" s="127"/>
      <c r="E19" s="127">
        <v>517</v>
      </c>
      <c r="F19" s="153"/>
    </row>
    <row r="20" spans="2:6" x14ac:dyDescent="0.2">
      <c r="B20" s="357"/>
      <c r="C20" s="15" t="s">
        <v>445</v>
      </c>
      <c r="D20" s="127"/>
      <c r="E20" s="127">
        <v>666</v>
      </c>
      <c r="F20" s="153"/>
    </row>
    <row r="21" spans="2:6" x14ac:dyDescent="0.2">
      <c r="B21" s="357"/>
      <c r="C21" s="15" t="s">
        <v>446</v>
      </c>
      <c r="D21" s="127"/>
      <c r="E21" s="127">
        <v>504</v>
      </c>
      <c r="F21" s="153"/>
    </row>
    <row r="22" spans="2:6" x14ac:dyDescent="0.2">
      <c r="B22" s="357"/>
      <c r="C22" s="15" t="s">
        <v>447</v>
      </c>
      <c r="D22" s="127"/>
      <c r="E22" s="127">
        <v>1879</v>
      </c>
      <c r="F22" s="153"/>
    </row>
    <row r="23" spans="2:6" x14ac:dyDescent="0.2">
      <c r="B23" s="357"/>
      <c r="C23" s="15" t="s">
        <v>448</v>
      </c>
      <c r="D23" s="127"/>
      <c r="E23" s="127">
        <v>1137</v>
      </c>
      <c r="F23" s="153"/>
    </row>
    <row r="24" spans="2:6" x14ac:dyDescent="0.2">
      <c r="B24" s="357"/>
      <c r="C24" s="15" t="s">
        <v>449</v>
      </c>
      <c r="D24" s="127"/>
      <c r="E24" s="127">
        <v>933</v>
      </c>
      <c r="F24" s="153"/>
    </row>
    <row r="25" spans="2:6" x14ac:dyDescent="0.2">
      <c r="B25" s="357"/>
      <c r="C25" s="15" t="s">
        <v>450</v>
      </c>
      <c r="D25" s="127"/>
      <c r="E25" s="127">
        <v>527</v>
      </c>
      <c r="F25" s="153"/>
    </row>
    <row r="26" spans="2:6" x14ac:dyDescent="0.2">
      <c r="B26" s="357"/>
      <c r="C26" s="15" t="s">
        <v>450</v>
      </c>
      <c r="D26" s="127"/>
      <c r="E26" s="127">
        <v>542</v>
      </c>
      <c r="F26" s="153"/>
    </row>
    <row r="27" spans="2:6" ht="18" x14ac:dyDescent="0.2">
      <c r="B27" s="353" t="s">
        <v>451</v>
      </c>
      <c r="C27" s="353"/>
      <c r="D27" s="144">
        <f>D9*F7</f>
        <v>4755.8336842105264</v>
      </c>
      <c r="E27" s="152">
        <f>SUM(E17:E26)</f>
        <v>8919</v>
      </c>
      <c r="F27" s="145">
        <f>E27-D27</f>
        <v>4163.1663157894736</v>
      </c>
    </row>
    <row r="28" spans="2:6" x14ac:dyDescent="0.2">
      <c r="B28" s="356"/>
      <c r="C28" s="154" t="s">
        <v>478</v>
      </c>
      <c r="D28" s="155"/>
      <c r="E28" s="155">
        <v>390</v>
      </c>
      <c r="F28" s="156"/>
    </row>
    <row r="29" spans="2:6" x14ac:dyDescent="0.2">
      <c r="B29" s="356"/>
      <c r="C29" s="154" t="s">
        <v>478</v>
      </c>
      <c r="D29" s="155"/>
      <c r="E29" s="155">
        <v>1575</v>
      </c>
      <c r="F29" s="156"/>
    </row>
    <row r="30" spans="2:6" x14ac:dyDescent="0.2">
      <c r="B30" s="356"/>
      <c r="C30" s="154" t="s">
        <v>479</v>
      </c>
      <c r="D30" s="155"/>
      <c r="E30" s="155">
        <v>2489</v>
      </c>
      <c r="F30" s="156"/>
    </row>
    <row r="31" spans="2:6" x14ac:dyDescent="0.2">
      <c r="B31" s="356"/>
      <c r="C31" s="154" t="s">
        <v>479</v>
      </c>
      <c r="D31" s="155"/>
      <c r="E31" s="155">
        <v>10401</v>
      </c>
      <c r="F31" s="156"/>
    </row>
    <row r="32" spans="2:6" x14ac:dyDescent="0.2">
      <c r="B32" s="356"/>
      <c r="C32" s="154" t="s">
        <v>479</v>
      </c>
      <c r="D32" s="155"/>
      <c r="E32" s="155">
        <v>544</v>
      </c>
      <c r="F32" s="156"/>
    </row>
    <row r="33" spans="2:6" x14ac:dyDescent="0.2">
      <c r="B33" s="356"/>
      <c r="C33" s="154" t="s">
        <v>480</v>
      </c>
      <c r="D33" s="155"/>
      <c r="E33" s="155">
        <v>1377</v>
      </c>
      <c r="F33" s="156"/>
    </row>
    <row r="34" spans="2:6" x14ac:dyDescent="0.2">
      <c r="B34" s="356"/>
      <c r="C34" s="154" t="s">
        <v>480</v>
      </c>
      <c r="D34" s="155"/>
      <c r="E34" s="155">
        <v>1492</v>
      </c>
      <c r="F34" s="156"/>
    </row>
    <row r="35" spans="2:6" x14ac:dyDescent="0.2">
      <c r="B35" s="356"/>
      <c r="C35" s="154" t="s">
        <v>481</v>
      </c>
      <c r="D35" s="155"/>
      <c r="E35" s="155">
        <v>1823</v>
      </c>
      <c r="F35" s="156"/>
    </row>
    <row r="36" spans="2:6" x14ac:dyDescent="0.2">
      <c r="B36" s="356"/>
      <c r="C36" s="154" t="s">
        <v>482</v>
      </c>
      <c r="D36" s="155"/>
      <c r="E36" s="155">
        <v>2365</v>
      </c>
      <c r="F36" s="156"/>
    </row>
    <row r="37" spans="2:6" x14ac:dyDescent="0.2">
      <c r="B37" s="356"/>
      <c r="C37" s="154" t="s">
        <v>482</v>
      </c>
      <c r="D37" s="155"/>
      <c r="E37" s="155">
        <v>1290</v>
      </c>
      <c r="F37" s="156"/>
    </row>
    <row r="38" spans="2:6" x14ac:dyDescent="0.2">
      <c r="B38" s="356"/>
      <c r="C38" s="154" t="s">
        <v>482</v>
      </c>
      <c r="D38" s="154"/>
      <c r="E38" s="154">
        <v>1608</v>
      </c>
      <c r="F38" s="156"/>
    </row>
    <row r="39" spans="2:6" x14ac:dyDescent="0.2">
      <c r="B39" s="356"/>
      <c r="C39" s="154" t="s">
        <v>482</v>
      </c>
      <c r="D39" s="154"/>
      <c r="E39" s="154">
        <v>3723</v>
      </c>
      <c r="F39" s="156"/>
    </row>
    <row r="40" spans="2:6" x14ac:dyDescent="0.2">
      <c r="B40" s="356"/>
      <c r="C40" s="154" t="s">
        <v>482</v>
      </c>
      <c r="D40" s="154"/>
      <c r="E40" s="154">
        <v>879</v>
      </c>
      <c r="F40" s="156"/>
    </row>
    <row r="41" spans="2:6" x14ac:dyDescent="0.2">
      <c r="B41" s="356"/>
      <c r="C41" s="154" t="s">
        <v>858</v>
      </c>
      <c r="D41" s="154"/>
      <c r="E41" s="154">
        <v>471</v>
      </c>
      <c r="F41" s="156"/>
    </row>
    <row r="42" spans="2:6" x14ac:dyDescent="0.2">
      <c r="B42" s="356"/>
      <c r="C42" s="154" t="s">
        <v>858</v>
      </c>
      <c r="D42" s="154"/>
      <c r="E42" s="154">
        <v>681</v>
      </c>
      <c r="F42" s="156"/>
    </row>
    <row r="43" spans="2:6" x14ac:dyDescent="0.2">
      <c r="B43" s="356"/>
      <c r="C43" s="154" t="s">
        <v>483</v>
      </c>
      <c r="D43" s="154"/>
      <c r="E43" s="154">
        <v>2073</v>
      </c>
      <c r="F43" s="156"/>
    </row>
    <row r="44" spans="2:6" x14ac:dyDescent="0.2">
      <c r="B44" s="356"/>
      <c r="C44" s="154" t="s">
        <v>483</v>
      </c>
      <c r="D44" s="154"/>
      <c r="E44" s="154">
        <v>2928</v>
      </c>
      <c r="F44" s="156"/>
    </row>
    <row r="45" spans="2:6" x14ac:dyDescent="0.2">
      <c r="B45" s="356"/>
      <c r="C45" s="154" t="s">
        <v>484</v>
      </c>
      <c r="D45" s="154"/>
      <c r="E45" s="154">
        <v>473</v>
      </c>
      <c r="F45" s="156"/>
    </row>
    <row r="46" spans="2:6" x14ac:dyDescent="0.2">
      <c r="B46" s="356"/>
      <c r="C46" s="154" t="s">
        <v>485</v>
      </c>
      <c r="D46" s="154"/>
      <c r="E46" s="154">
        <v>42</v>
      </c>
      <c r="F46" s="156"/>
    </row>
    <row r="47" spans="2:6" x14ac:dyDescent="0.2">
      <c r="B47" s="356"/>
      <c r="C47" s="154" t="s">
        <v>486</v>
      </c>
      <c r="D47" s="154"/>
      <c r="E47" s="154">
        <v>14524</v>
      </c>
      <c r="F47" s="156"/>
    </row>
    <row r="48" spans="2:6" x14ac:dyDescent="0.2">
      <c r="B48" s="356"/>
      <c r="C48" s="154" t="s">
        <v>486</v>
      </c>
      <c r="D48" s="155"/>
      <c r="E48" s="155">
        <v>1457</v>
      </c>
      <c r="F48" s="156"/>
    </row>
    <row r="49" spans="2:6" ht="18" x14ac:dyDescent="0.2">
      <c r="B49" s="355" t="s">
        <v>47</v>
      </c>
      <c r="C49" s="355"/>
      <c r="D49" s="149">
        <f>D9*F8</f>
        <v>21401.251578947369</v>
      </c>
      <c r="E49" s="151">
        <f>SUM(E28:E48)</f>
        <v>52605</v>
      </c>
      <c r="F49" s="151">
        <f>E49-D49</f>
        <v>31203.748421052631</v>
      </c>
    </row>
    <row r="50" spans="2:6" x14ac:dyDescent="0.2">
      <c r="B50" s="357"/>
      <c r="C50" s="154" t="s">
        <v>500</v>
      </c>
      <c r="D50" s="155"/>
      <c r="E50" s="155">
        <v>385</v>
      </c>
      <c r="F50" s="156"/>
    </row>
    <row r="51" spans="2:6" x14ac:dyDescent="0.2">
      <c r="B51" s="357"/>
      <c r="C51" s="154" t="s">
        <v>500</v>
      </c>
      <c r="D51" s="155"/>
      <c r="E51" s="155">
        <v>420</v>
      </c>
      <c r="F51" s="156"/>
    </row>
    <row r="52" spans="2:6" x14ac:dyDescent="0.2">
      <c r="B52" s="357"/>
      <c r="C52" s="154" t="s">
        <v>500</v>
      </c>
      <c r="D52" s="155"/>
      <c r="E52" s="155">
        <v>398</v>
      </c>
      <c r="F52" s="156"/>
    </row>
    <row r="53" spans="2:6" x14ac:dyDescent="0.2">
      <c r="B53" s="357"/>
      <c r="C53" s="154" t="s">
        <v>500</v>
      </c>
      <c r="D53" s="155"/>
      <c r="E53" s="155">
        <v>497</v>
      </c>
      <c r="F53" s="156"/>
    </row>
    <row r="54" spans="2:6" x14ac:dyDescent="0.2">
      <c r="B54" s="357"/>
      <c r="C54" s="154" t="s">
        <v>500</v>
      </c>
      <c r="D54" s="155"/>
      <c r="E54" s="155">
        <v>781</v>
      </c>
      <c r="F54" s="156"/>
    </row>
    <row r="55" spans="2:6" x14ac:dyDescent="0.2">
      <c r="B55" s="357"/>
      <c r="C55" s="154" t="s">
        <v>501</v>
      </c>
      <c r="D55" s="155"/>
      <c r="E55" s="155">
        <v>2078</v>
      </c>
      <c r="F55" s="156"/>
    </row>
    <row r="56" spans="2:6" x14ac:dyDescent="0.2">
      <c r="B56" s="357"/>
      <c r="C56" s="154" t="s">
        <v>501</v>
      </c>
      <c r="D56" s="155"/>
      <c r="E56" s="155">
        <v>867</v>
      </c>
      <c r="F56" s="156"/>
    </row>
    <row r="57" spans="2:6" x14ac:dyDescent="0.2">
      <c r="B57" s="357"/>
      <c r="C57" s="154" t="s">
        <v>501</v>
      </c>
      <c r="D57" s="155"/>
      <c r="E57" s="155">
        <v>1100</v>
      </c>
      <c r="F57" s="156"/>
    </row>
    <row r="58" spans="2:6" x14ac:dyDescent="0.2">
      <c r="B58" s="357"/>
      <c r="C58" s="154" t="s">
        <v>501</v>
      </c>
      <c r="D58" s="155"/>
      <c r="E58" s="155">
        <v>1050</v>
      </c>
      <c r="F58" s="156"/>
    </row>
    <row r="59" spans="2:6" x14ac:dyDescent="0.2">
      <c r="B59" s="357"/>
      <c r="C59" s="154" t="s">
        <v>501</v>
      </c>
      <c r="D59" s="155"/>
      <c r="E59" s="155">
        <v>1012</v>
      </c>
      <c r="F59" s="156"/>
    </row>
    <row r="60" spans="2:6" x14ac:dyDescent="0.2">
      <c r="B60" s="357"/>
      <c r="C60" s="154" t="s">
        <v>502</v>
      </c>
      <c r="D60" s="155"/>
      <c r="E60" s="155">
        <v>1163.8839190000001</v>
      </c>
      <c r="F60" s="156"/>
    </row>
    <row r="61" spans="2:6" x14ac:dyDescent="0.2">
      <c r="B61" s="357"/>
      <c r="C61" s="154" t="s">
        <v>503</v>
      </c>
      <c r="D61" s="155"/>
      <c r="E61" s="155">
        <v>595</v>
      </c>
      <c r="F61" s="156"/>
    </row>
    <row r="62" spans="2:6" x14ac:dyDescent="0.2">
      <c r="B62" s="357"/>
      <c r="C62" s="154" t="s">
        <v>504</v>
      </c>
      <c r="D62" s="155"/>
      <c r="E62" s="155">
        <v>1727</v>
      </c>
      <c r="F62" s="156"/>
    </row>
    <row r="63" spans="2:6" x14ac:dyDescent="0.2">
      <c r="B63" s="357"/>
      <c r="C63" s="154" t="s">
        <v>504</v>
      </c>
      <c r="D63" s="155"/>
      <c r="E63" s="155">
        <v>90</v>
      </c>
      <c r="F63" s="156"/>
    </row>
    <row r="64" spans="2:6" x14ac:dyDescent="0.2">
      <c r="B64" s="357"/>
      <c r="C64" s="154" t="s">
        <v>504</v>
      </c>
      <c r="D64" s="155"/>
      <c r="E64" s="155">
        <v>1606</v>
      </c>
      <c r="F64" s="156"/>
    </row>
    <row r="65" spans="2:6" x14ac:dyDescent="0.2">
      <c r="B65" s="357"/>
      <c r="C65" s="154" t="s">
        <v>505</v>
      </c>
      <c r="D65" s="155"/>
      <c r="E65" s="155">
        <v>485</v>
      </c>
      <c r="F65" s="156"/>
    </row>
    <row r="66" spans="2:6" x14ac:dyDescent="0.2">
      <c r="B66" s="357"/>
      <c r="C66" s="154" t="s">
        <v>505</v>
      </c>
      <c r="D66" s="155"/>
      <c r="E66" s="155">
        <v>228</v>
      </c>
      <c r="F66" s="156"/>
    </row>
    <row r="67" spans="2:6" ht="18" x14ac:dyDescent="0.2">
      <c r="B67" s="353" t="s">
        <v>506</v>
      </c>
      <c r="C67" s="353"/>
      <c r="D67" s="152">
        <f>D9*F9</f>
        <v>5944.7921052631582</v>
      </c>
      <c r="E67" s="152">
        <f>SUM(E50:E66)</f>
        <v>14482.883919</v>
      </c>
      <c r="F67" s="145">
        <f>E67-D67</f>
        <v>8538.0918137368426</v>
      </c>
    </row>
    <row r="68" spans="2:6" x14ac:dyDescent="0.2">
      <c r="B68" s="67"/>
      <c r="C68" s="1"/>
      <c r="D68" s="1"/>
      <c r="E68" s="1"/>
      <c r="F68" s="68"/>
    </row>
    <row r="69" spans="2:6" x14ac:dyDescent="0.2">
      <c r="B69" s="339" t="s">
        <v>786</v>
      </c>
      <c r="C69" s="358"/>
      <c r="D69" s="358"/>
      <c r="E69" s="358"/>
      <c r="F69" s="359"/>
    </row>
    <row r="70" spans="2:6" x14ac:dyDescent="0.2">
      <c r="B70" s="360"/>
      <c r="C70" s="358"/>
      <c r="D70" s="358"/>
      <c r="E70" s="358"/>
      <c r="F70" s="359"/>
    </row>
    <row r="71" spans="2:6" x14ac:dyDescent="0.2">
      <c r="B71" s="360"/>
      <c r="C71" s="358"/>
      <c r="D71" s="358"/>
      <c r="E71" s="358"/>
      <c r="F71" s="359"/>
    </row>
    <row r="72" spans="2:6" x14ac:dyDescent="0.2">
      <c r="B72" s="360"/>
      <c r="C72" s="358"/>
      <c r="D72" s="358"/>
      <c r="E72" s="358"/>
      <c r="F72" s="359"/>
    </row>
    <row r="73" spans="2:6" x14ac:dyDescent="0.2">
      <c r="B73" s="360"/>
      <c r="C73" s="358"/>
      <c r="D73" s="358"/>
      <c r="E73" s="358"/>
      <c r="F73" s="359"/>
    </row>
    <row r="74" spans="2:6" x14ac:dyDescent="0.2">
      <c r="B74" s="360"/>
      <c r="C74" s="358"/>
      <c r="D74" s="358"/>
      <c r="E74" s="358"/>
      <c r="F74" s="359"/>
    </row>
    <row r="75" spans="2:6" x14ac:dyDescent="0.2">
      <c r="B75" s="360"/>
      <c r="C75" s="358"/>
      <c r="D75" s="358"/>
      <c r="E75" s="358"/>
      <c r="F75" s="359"/>
    </row>
    <row r="76" spans="2:6" x14ac:dyDescent="0.2">
      <c r="B76" s="360"/>
      <c r="C76" s="358"/>
      <c r="D76" s="358"/>
      <c r="E76" s="358"/>
      <c r="F76" s="359"/>
    </row>
    <row r="77" spans="2:6" x14ac:dyDescent="0.2">
      <c r="B77" s="360"/>
      <c r="C77" s="358"/>
      <c r="D77" s="358"/>
      <c r="E77" s="358"/>
      <c r="F77" s="359"/>
    </row>
    <row r="78" spans="2:6" x14ac:dyDescent="0.2">
      <c r="B78" s="360"/>
      <c r="C78" s="358"/>
      <c r="D78" s="358"/>
      <c r="E78" s="358"/>
      <c r="F78" s="359"/>
    </row>
    <row r="79" spans="2:6" x14ac:dyDescent="0.2">
      <c r="B79" s="360"/>
      <c r="C79" s="358"/>
      <c r="D79" s="358"/>
      <c r="E79" s="358"/>
      <c r="F79" s="359"/>
    </row>
    <row r="80" spans="2:6" x14ac:dyDescent="0.2">
      <c r="B80" s="360"/>
      <c r="C80" s="358"/>
      <c r="D80" s="358"/>
      <c r="E80" s="358"/>
      <c r="F80" s="359"/>
    </row>
    <row r="81" spans="2:6" x14ac:dyDescent="0.2">
      <c r="B81" s="360"/>
      <c r="C81" s="358"/>
      <c r="D81" s="358"/>
      <c r="E81" s="358"/>
      <c r="F81" s="359"/>
    </row>
    <row r="82" spans="2:6" x14ac:dyDescent="0.2">
      <c r="B82" s="360"/>
      <c r="C82" s="358"/>
      <c r="D82" s="358"/>
      <c r="E82" s="358"/>
      <c r="F82" s="359"/>
    </row>
    <row r="83" spans="2:6" x14ac:dyDescent="0.2">
      <c r="B83" s="360"/>
      <c r="C83" s="358"/>
      <c r="D83" s="358"/>
      <c r="E83" s="358"/>
      <c r="F83" s="359"/>
    </row>
    <row r="84" spans="2:6" x14ac:dyDescent="0.2">
      <c r="B84" s="360"/>
      <c r="C84" s="358"/>
      <c r="D84" s="358"/>
      <c r="E84" s="358"/>
      <c r="F84" s="359"/>
    </row>
    <row r="85" spans="2:6" x14ac:dyDescent="0.2">
      <c r="B85" s="360"/>
      <c r="C85" s="358"/>
      <c r="D85" s="358"/>
      <c r="E85" s="358"/>
      <c r="F85" s="359"/>
    </row>
    <row r="86" spans="2:6" ht="13.5" thickBot="1" x14ac:dyDescent="0.25">
      <c r="B86" s="74"/>
      <c r="C86" s="75"/>
      <c r="D86" s="75"/>
      <c r="E86" s="75"/>
      <c r="F86" s="76"/>
    </row>
  </sheetData>
  <mergeCells count="12">
    <mergeCell ref="B69:F85"/>
    <mergeCell ref="B2:F2"/>
    <mergeCell ref="B3:F3"/>
    <mergeCell ref="B12:C12"/>
    <mergeCell ref="B13:B15"/>
    <mergeCell ref="B16:C16"/>
    <mergeCell ref="B17:B26"/>
    <mergeCell ref="B27:C27"/>
    <mergeCell ref="B28:B48"/>
    <mergeCell ref="B49:C49"/>
    <mergeCell ref="B50:B66"/>
    <mergeCell ref="B67:C67"/>
  </mergeCells>
  <pageMargins left="0.70866141732283472" right="0.70866141732283472" top="0.74803149606299213" bottom="0.74803149606299213" header="0.31496062992125984" footer="0.31496062992125984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9</vt:i4>
      </vt:variant>
    </vt:vector>
  </HeadingPairs>
  <TitlesOfParts>
    <vt:vector size="13" baseType="lpstr">
      <vt:lpstr>Proposta Dimensionamento</vt:lpstr>
      <vt:lpstr>stato vigente e di progetto</vt:lpstr>
      <vt:lpstr>Standard</vt:lpstr>
      <vt:lpstr>Standard Centri Minori</vt:lpstr>
      <vt:lpstr>'Proposta Dimensionamento'!Area_stampa</vt:lpstr>
      <vt:lpstr>Standard!Area_stampa</vt:lpstr>
      <vt:lpstr>'Standard Centri Minori'!Area_stampa</vt:lpstr>
      <vt:lpstr>'stato vigente e di progetto'!Area_stampa</vt:lpstr>
      <vt:lpstr>Standard!Print_Area</vt:lpstr>
      <vt:lpstr>'Standard Centri Minori'!Print_Area</vt:lpstr>
      <vt:lpstr>'stato vigente e di progetto'!Print_Area</vt:lpstr>
      <vt:lpstr>'stato vigente e di progetto'!Print_Titles</vt:lpstr>
      <vt:lpstr>'stato vigente e di progetto'!Titoli_stampa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andrealafauci</dc:creator>
  <cp:lastModifiedBy>Francesco Biancu</cp:lastModifiedBy>
  <cp:lastPrinted>2026-04-20T10:59:03Z</cp:lastPrinted>
  <dcterms:created xsi:type="dcterms:W3CDTF">2014-04-01T08:28:03Z</dcterms:created>
  <dcterms:modified xsi:type="dcterms:W3CDTF">2026-04-20T11:00:55Z</dcterms:modified>
</cp:coreProperties>
</file>